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k\Documents\Branko HOME pages\documents dwnload from Home Pages Jun2022\"/>
    </mc:Choice>
  </mc:AlternateContent>
  <xr:revisionPtr revIDLastSave="0" documentId="13_ncr:1_{34E13027-4C7E-4635-909E-99239BB76FFA}" xr6:coauthVersionLast="47" xr6:coauthVersionMax="47" xr10:uidLastSave="{00000000-0000-0000-0000-000000000000}"/>
  <bookViews>
    <workbookView xWindow="12855" yWindow="120" windowWidth="15900" windowHeight="15480" activeTab="2" xr2:uid="{00000000-000D-0000-FFFF-FFFF00000000}"/>
  </bookViews>
  <sheets>
    <sheet name="1. Autocorr" sheetId="2" r:id="rId1"/>
    <sheet name="2. Estim" sheetId="1" r:id="rId2"/>
    <sheet name="3. Model" sheetId="3" r:id="rId3"/>
    <sheet name="4. Forecast" sheetId="6" r:id="rId4"/>
  </sheets>
  <definedNames>
    <definedName name="solver_adj" localSheetId="1" hidden="1">'2. Estim'!$E$18:$F$18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'2. Estim'!$L$18</definedName>
    <definedName name="solver_lhs2" localSheetId="1" hidden="1">'2. Estim'!$L$19</definedName>
    <definedName name="solver_lhs3" localSheetId="1" hidden="1">'2. Estim'!$L$15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'2. Estim'!$D$20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1</definedName>
    <definedName name="solver_rel3" localSheetId="1" hidden="1">1</definedName>
    <definedName name="solver_rhs1" localSheetId="1" hidden="1">1</definedName>
    <definedName name="solver_rhs2" localSheetId="1" hidden="1">1</definedName>
    <definedName name="solver_rhs3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3" l="1"/>
  <c r="F9" i="3"/>
  <c r="M24" i="3" s="1"/>
  <c r="M12" i="3"/>
  <c r="N4" i="3"/>
  <c r="M6" i="3"/>
  <c r="M14" i="3"/>
  <c r="M19" i="3"/>
  <c r="M22" i="3"/>
  <c r="M27" i="3"/>
  <c r="M35" i="3"/>
  <c r="M42" i="3"/>
  <c r="M46" i="3"/>
  <c r="U19" i="6"/>
  <c r="U18" i="6"/>
  <c r="U12" i="6"/>
  <c r="R19" i="6"/>
  <c r="R18" i="6"/>
  <c r="R12" i="6"/>
  <c r="O19" i="6"/>
  <c r="O18" i="6"/>
  <c r="O12" i="6"/>
  <c r="R17" i="6"/>
  <c r="B2" i="6"/>
  <c r="C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K3" i="3"/>
  <c r="K4" i="3"/>
  <c r="K5" i="3"/>
  <c r="K6" i="3"/>
  <c r="B19" i="3"/>
  <c r="C19" i="3" s="1"/>
  <c r="K7" i="3"/>
  <c r="B13" i="3"/>
  <c r="C13" i="3" s="1"/>
  <c r="K8" i="3"/>
  <c r="K9" i="3"/>
  <c r="K10" i="3"/>
  <c r="M11" i="3" s="1"/>
  <c r="K11" i="3"/>
  <c r="K12" i="3"/>
  <c r="K13" i="3"/>
  <c r="K14" i="3"/>
  <c r="K15" i="3"/>
  <c r="B16" i="3"/>
  <c r="C16" i="3" s="1"/>
  <c r="K16" i="3"/>
  <c r="K17" i="3"/>
  <c r="K18" i="3"/>
  <c r="K19" i="3"/>
  <c r="K20" i="3"/>
  <c r="K21" i="3"/>
  <c r="K22" i="3"/>
  <c r="B23" i="3"/>
  <c r="C23" i="3" s="1"/>
  <c r="K23" i="3"/>
  <c r="K24" i="3"/>
  <c r="K25" i="3"/>
  <c r="K26" i="3"/>
  <c r="K27" i="3"/>
  <c r="K28" i="3"/>
  <c r="K29" i="3"/>
  <c r="M30" i="3" s="1"/>
  <c r="K30" i="3"/>
  <c r="K31" i="3"/>
  <c r="M32" i="3" s="1"/>
  <c r="K32" i="3"/>
  <c r="K33" i="3"/>
  <c r="K34" i="3"/>
  <c r="K35" i="3"/>
  <c r="K36" i="3"/>
  <c r="K37" i="3"/>
  <c r="K38" i="3"/>
  <c r="K39" i="3"/>
  <c r="M40" i="3" s="1"/>
  <c r="K40" i="3"/>
  <c r="K41" i="3"/>
  <c r="K42" i="3"/>
  <c r="K43" i="3"/>
  <c r="K44" i="3"/>
  <c r="K45" i="3"/>
  <c r="K46" i="3"/>
  <c r="K47" i="3"/>
  <c r="M48" i="3" s="1"/>
  <c r="K48" i="3"/>
  <c r="K49" i="3"/>
  <c r="M50" i="3" s="1"/>
  <c r="K50" i="3"/>
  <c r="M51" i="3" s="1"/>
  <c r="K51" i="3"/>
  <c r="K52" i="3"/>
  <c r="C3" i="2"/>
  <c r="C4" i="2"/>
  <c r="Q4" i="2"/>
  <c r="R47" i="2" s="1"/>
  <c r="C5" i="2"/>
  <c r="Q5" i="2"/>
  <c r="C6" i="2"/>
  <c r="Q6" i="2"/>
  <c r="C7" i="2"/>
  <c r="Q7" i="2"/>
  <c r="C8" i="2"/>
  <c r="Q8" i="2"/>
  <c r="C9" i="2"/>
  <c r="Q9" i="2"/>
  <c r="C10" i="2"/>
  <c r="Q10" i="2"/>
  <c r="C11" i="2"/>
  <c r="Q11" i="2"/>
  <c r="C12" i="2"/>
  <c r="Q12" i="2"/>
  <c r="C13" i="2"/>
  <c r="Q13" i="2"/>
  <c r="C14" i="2"/>
  <c r="Q14" i="2"/>
  <c r="C15" i="2"/>
  <c r="Q15" i="2"/>
  <c r="C16" i="2"/>
  <c r="Q16" i="2"/>
  <c r="R10" i="2" s="1"/>
  <c r="C17" i="2"/>
  <c r="Q17" i="2"/>
  <c r="C18" i="2"/>
  <c r="Q18" i="2"/>
  <c r="C19" i="2"/>
  <c r="Q19" i="2"/>
  <c r="C20" i="2"/>
  <c r="Q20" i="2"/>
  <c r="C21" i="2"/>
  <c r="Q21" i="2"/>
  <c r="C22" i="2"/>
  <c r="Q22" i="2"/>
  <c r="C23" i="2"/>
  <c r="Q23" i="2"/>
  <c r="C24" i="2"/>
  <c r="Q24" i="2"/>
  <c r="C25" i="2"/>
  <c r="Q25" i="2"/>
  <c r="C26" i="2"/>
  <c r="Q26" i="2"/>
  <c r="C27" i="2"/>
  <c r="Q27" i="2"/>
  <c r="C28" i="2"/>
  <c r="Q28" i="2"/>
  <c r="C29" i="2"/>
  <c r="Q29" i="2"/>
  <c r="C30" i="2"/>
  <c r="Q30" i="2"/>
  <c r="C31" i="2"/>
  <c r="Q31" i="2"/>
  <c r="C32" i="2"/>
  <c r="Q32" i="2"/>
  <c r="C33" i="2"/>
  <c r="Q33" i="2"/>
  <c r="C34" i="2"/>
  <c r="Q34" i="2"/>
  <c r="C35" i="2"/>
  <c r="Q35" i="2"/>
  <c r="C36" i="2"/>
  <c r="Q36" i="2"/>
  <c r="R36" i="2" s="1"/>
  <c r="C37" i="2"/>
  <c r="Q37" i="2"/>
  <c r="C38" i="2"/>
  <c r="Q38" i="2"/>
  <c r="C39" i="2"/>
  <c r="Q39" i="2"/>
  <c r="C40" i="2"/>
  <c r="Q40" i="2"/>
  <c r="R40" i="2" s="1"/>
  <c r="C41" i="2"/>
  <c r="Q41" i="2"/>
  <c r="C42" i="2"/>
  <c r="Q42" i="2"/>
  <c r="C43" i="2"/>
  <c r="Q43" i="2"/>
  <c r="C44" i="2"/>
  <c r="Q44" i="2"/>
  <c r="C45" i="2"/>
  <c r="Q45" i="2"/>
  <c r="C46" i="2"/>
  <c r="Q46" i="2"/>
  <c r="C47" i="2"/>
  <c r="Q47" i="2"/>
  <c r="C48" i="2"/>
  <c r="Q48" i="2"/>
  <c r="C49" i="2"/>
  <c r="Q49" i="2"/>
  <c r="C50" i="2"/>
  <c r="Q50" i="2"/>
  <c r="C51" i="2"/>
  <c r="Q51" i="2"/>
  <c r="C52" i="2"/>
  <c r="Q52" i="2"/>
  <c r="Q53" i="2"/>
  <c r="L10" i="1"/>
  <c r="M10" i="1" s="1"/>
  <c r="L19" i="1"/>
  <c r="M19" i="1" s="1"/>
  <c r="L18" i="1"/>
  <c r="M18" i="1" s="1"/>
  <c r="L15" i="1"/>
  <c r="M15" i="1" s="1"/>
  <c r="L14" i="1"/>
  <c r="M14" i="1" s="1"/>
  <c r="L13" i="1"/>
  <c r="M13" i="1" s="1"/>
  <c r="M38" i="3" l="1"/>
  <c r="M16" i="3"/>
  <c r="M8" i="3"/>
  <c r="M43" i="3"/>
  <c r="M34" i="3"/>
  <c r="M26" i="3"/>
  <c r="M18" i="3"/>
  <c r="M10" i="3"/>
  <c r="M49" i="3"/>
  <c r="M41" i="3"/>
  <c r="M33" i="3"/>
  <c r="M25" i="3"/>
  <c r="M17" i="3"/>
  <c r="M9" i="3"/>
  <c r="M47" i="3"/>
  <c r="M39" i="3"/>
  <c r="M31" i="3"/>
  <c r="M23" i="3"/>
  <c r="M15" i="3"/>
  <c r="M7" i="3"/>
  <c r="M4" i="3"/>
  <c r="O4" i="3" s="1"/>
  <c r="M45" i="3"/>
  <c r="M37" i="3"/>
  <c r="M29" i="3"/>
  <c r="M21" i="3"/>
  <c r="M13" i="3"/>
  <c r="M5" i="3"/>
  <c r="M52" i="3"/>
  <c r="M44" i="3"/>
  <c r="M36" i="3"/>
  <c r="M28" i="3"/>
  <c r="M20" i="3"/>
  <c r="D14" i="2"/>
  <c r="R53" i="2"/>
  <c r="R41" i="2"/>
  <c r="D9" i="2"/>
  <c r="R43" i="2"/>
  <c r="R39" i="2"/>
  <c r="R35" i="2"/>
  <c r="D22" i="2"/>
  <c r="D2" i="6"/>
  <c r="R51" i="2"/>
  <c r="R50" i="2"/>
  <c r="R34" i="2"/>
  <c r="R30" i="2"/>
  <c r="R26" i="2"/>
  <c r="R49" i="2"/>
  <c r="O17" i="6"/>
  <c r="U6" i="6"/>
  <c r="U11" i="6"/>
  <c r="R6" i="6"/>
  <c r="R11" i="6"/>
  <c r="U17" i="6"/>
  <c r="O6" i="6"/>
  <c r="O11" i="6"/>
  <c r="L50" i="3"/>
  <c r="T10" i="6"/>
  <c r="L30" i="3"/>
  <c r="Q8" i="6"/>
  <c r="L38" i="3"/>
  <c r="L45" i="3"/>
  <c r="L28" i="3"/>
  <c r="L42" i="3"/>
  <c r="T16" i="6"/>
  <c r="T5" i="6"/>
  <c r="L46" i="3"/>
  <c r="L41" i="3"/>
  <c r="L6" i="3"/>
  <c r="L40" i="3"/>
  <c r="L34" i="3"/>
  <c r="L29" i="3"/>
  <c r="L24" i="3"/>
  <c r="L21" i="3"/>
  <c r="L17" i="3"/>
  <c r="L14" i="3"/>
  <c r="L10" i="3"/>
  <c r="L5" i="3"/>
  <c r="N14" i="6"/>
  <c r="Q9" i="6"/>
  <c r="T3" i="6"/>
  <c r="B2" i="3"/>
  <c r="T4" i="6"/>
  <c r="T14" i="6"/>
  <c r="L44" i="3"/>
  <c r="L33" i="3"/>
  <c r="L23" i="3"/>
  <c r="L20" i="3"/>
  <c r="L16" i="3"/>
  <c r="L13" i="3"/>
  <c r="L9" i="3"/>
  <c r="T15" i="6"/>
  <c r="L49" i="3"/>
  <c r="L32" i="3"/>
  <c r="L8" i="3"/>
  <c r="N3" i="6"/>
  <c r="Q14" i="6"/>
  <c r="L48" i="3"/>
  <c r="L37" i="3"/>
  <c r="L26" i="3"/>
  <c r="L19" i="3"/>
  <c r="L12" i="3"/>
  <c r="Q3" i="6"/>
  <c r="Q15" i="6"/>
  <c r="T8" i="6"/>
  <c r="L36" i="3"/>
  <c r="L7" i="3"/>
  <c r="N8" i="6"/>
  <c r="Q4" i="6"/>
  <c r="T9" i="6"/>
  <c r="L52" i="3"/>
  <c r="L25" i="3"/>
  <c r="L22" i="3"/>
  <c r="L18" i="3"/>
  <c r="L15" i="3"/>
  <c r="L11" i="3"/>
  <c r="B4" i="3"/>
  <c r="B5" i="3" s="1"/>
  <c r="L51" i="3"/>
  <c r="L31" i="3"/>
  <c r="C26" i="3"/>
  <c r="C25" i="3"/>
  <c r="C24" i="3"/>
  <c r="C22" i="3"/>
  <c r="C17" i="3"/>
  <c r="C15" i="3"/>
  <c r="L3" i="3"/>
  <c r="B26" i="3"/>
  <c r="B25" i="3"/>
  <c r="B24" i="3"/>
  <c r="B22" i="3"/>
  <c r="B21" i="3"/>
  <c r="B20" i="3"/>
  <c r="B18" i="3"/>
  <c r="B17" i="3"/>
  <c r="B15" i="3"/>
  <c r="B14" i="3"/>
  <c r="B12" i="3"/>
  <c r="C12" i="3" s="1"/>
  <c r="B11" i="3"/>
  <c r="C11" i="3" s="1"/>
  <c r="L35" i="3"/>
  <c r="L47" i="3"/>
  <c r="C21" i="3"/>
  <c r="C18" i="3"/>
  <c r="C14" i="3"/>
  <c r="B7" i="3"/>
  <c r="B3" i="3"/>
  <c r="L43" i="3"/>
  <c r="L39" i="3"/>
  <c r="L27" i="3"/>
  <c r="C20" i="3"/>
  <c r="L4" i="3"/>
  <c r="R45" i="2"/>
  <c r="D7" i="2"/>
  <c r="R6" i="2"/>
  <c r="R27" i="2"/>
  <c r="D11" i="2"/>
  <c r="M9" i="2"/>
  <c r="R23" i="2"/>
  <c r="R46" i="2"/>
  <c r="R24" i="2"/>
  <c r="R13" i="2"/>
  <c r="R42" i="2"/>
  <c r="R33" i="2"/>
  <c r="R31" i="2"/>
  <c r="R29" i="2"/>
  <c r="D16" i="2"/>
  <c r="R14" i="2"/>
  <c r="R44" i="2"/>
  <c r="D15" i="2"/>
  <c r="E15" i="2" s="1"/>
  <c r="R19" i="2"/>
  <c r="M14" i="2"/>
  <c r="D8" i="2"/>
  <c r="R7" i="2"/>
  <c r="R9" i="2"/>
  <c r="R5" i="2"/>
  <c r="R18" i="2"/>
  <c r="R21" i="2"/>
  <c r="R17" i="2"/>
  <c r="R25" i="2"/>
  <c r="D10" i="2"/>
  <c r="R38" i="2"/>
  <c r="R32" i="2"/>
  <c r="R22" i="2"/>
  <c r="R15" i="2"/>
  <c r="D4" i="2"/>
  <c r="E4" i="2" s="1"/>
  <c r="M4" i="2"/>
  <c r="M19" i="2"/>
  <c r="D20" i="2"/>
  <c r="M20" i="2"/>
  <c r="D5" i="2"/>
  <c r="M5" i="2"/>
  <c r="M18" i="2"/>
  <c r="D21" i="2"/>
  <c r="M21" i="2"/>
  <c r="M8" i="2"/>
  <c r="M15" i="2"/>
  <c r="D3" i="2"/>
  <c r="M3" i="2"/>
  <c r="D6" i="2"/>
  <c r="M6" i="2"/>
  <c r="D17" i="2"/>
  <c r="E17" i="2" s="1"/>
  <c r="M17" i="2"/>
  <c r="M11" i="2"/>
  <c r="D12" i="2"/>
  <c r="E12" i="2" s="1"/>
  <c r="M12" i="2"/>
  <c r="M10" i="2"/>
  <c r="D13" i="2"/>
  <c r="E13" i="2" s="1"/>
  <c r="M13" i="2"/>
  <c r="M7" i="2"/>
  <c r="M16" i="2"/>
  <c r="D19" i="2"/>
  <c r="E19" i="2" s="1"/>
  <c r="R52" i="2"/>
  <c r="R37" i="2"/>
  <c r="M22" i="2"/>
  <c r="R20" i="2"/>
  <c r="D18" i="2"/>
  <c r="R11" i="2"/>
  <c r="R4" i="2"/>
  <c r="R12" i="2"/>
  <c r="R48" i="2"/>
  <c r="R28" i="2"/>
  <c r="R16" i="2"/>
  <c r="R8" i="2"/>
  <c r="D2" i="2"/>
  <c r="C3" i="6" l="1"/>
  <c r="D3" i="6" s="1"/>
  <c r="C4" i="6" s="1"/>
  <c r="D4" i="6" s="1"/>
  <c r="C5" i="6" s="1"/>
  <c r="D5" i="6" s="1"/>
  <c r="C6" i="6" s="1"/>
  <c r="D6" i="6" s="1"/>
  <c r="C7" i="6" s="1"/>
  <c r="D7" i="6" s="1"/>
  <c r="C8" i="6" s="1"/>
  <c r="D8" i="6" s="1"/>
  <c r="C9" i="6" s="1"/>
  <c r="D9" i="6" s="1"/>
  <c r="C10" i="6" s="1"/>
  <c r="D10" i="6" s="1"/>
  <c r="C11" i="6" s="1"/>
  <c r="D11" i="6" s="1"/>
  <c r="C12" i="6" s="1"/>
  <c r="D12" i="6" s="1"/>
  <c r="C13" i="6" s="1"/>
  <c r="D13" i="6" s="1"/>
  <c r="C14" i="6" s="1"/>
  <c r="D14" i="6" s="1"/>
  <c r="C15" i="6" s="1"/>
  <c r="D15" i="6" s="1"/>
  <c r="C16" i="6" s="1"/>
  <c r="D16" i="6" s="1"/>
  <c r="C17" i="6" s="1"/>
  <c r="D17" i="6" s="1"/>
  <c r="C18" i="6" s="1"/>
  <c r="D18" i="6" s="1"/>
  <c r="C19" i="6" s="1"/>
  <c r="D19" i="6" s="1"/>
  <c r="C20" i="6" s="1"/>
  <c r="D20" i="6" s="1"/>
  <c r="C21" i="6" s="1"/>
  <c r="D21" i="6" s="1"/>
  <c r="C22" i="6" s="1"/>
  <c r="D22" i="6" s="1"/>
  <c r="C23" i="6" s="1"/>
  <c r="D23" i="6" s="1"/>
  <c r="C24" i="6" s="1"/>
  <c r="D24" i="6" s="1"/>
  <c r="C25" i="6" s="1"/>
  <c r="D25" i="6" s="1"/>
  <c r="C26" i="6" s="1"/>
  <c r="D26" i="6" s="1"/>
  <c r="C27" i="6" s="1"/>
  <c r="D27" i="6" s="1"/>
  <c r="C28" i="6" s="1"/>
  <c r="D28" i="6" s="1"/>
  <c r="C29" i="6" s="1"/>
  <c r="D29" i="6" s="1"/>
  <c r="C30" i="6" s="1"/>
  <c r="D30" i="6" s="1"/>
  <c r="C31" i="6" s="1"/>
  <c r="D31" i="6" s="1"/>
  <c r="C32" i="6" s="1"/>
  <c r="D32" i="6" s="1"/>
  <c r="C33" i="6" s="1"/>
  <c r="D33" i="6" s="1"/>
  <c r="C34" i="6" s="1"/>
  <c r="D34" i="6" s="1"/>
  <c r="C35" i="6" s="1"/>
  <c r="D35" i="6" s="1"/>
  <c r="C36" i="6" s="1"/>
  <c r="D36" i="6" s="1"/>
  <c r="C37" i="6" s="1"/>
  <c r="D37" i="6" s="1"/>
  <c r="C38" i="6" s="1"/>
  <c r="D38" i="6" s="1"/>
  <c r="C39" i="6" s="1"/>
  <c r="D39" i="6" s="1"/>
  <c r="C40" i="6" s="1"/>
  <c r="D40" i="6" s="1"/>
  <c r="C41" i="6" s="1"/>
  <c r="D41" i="6" s="1"/>
  <c r="C42" i="6" s="1"/>
  <c r="D42" i="6" s="1"/>
  <c r="C43" i="6" s="1"/>
  <c r="D43" i="6" s="1"/>
  <c r="C44" i="6" s="1"/>
  <c r="D44" i="6" s="1"/>
  <c r="C45" i="6" s="1"/>
  <c r="D45" i="6" s="1"/>
  <c r="C46" i="6" s="1"/>
  <c r="D46" i="6" s="1"/>
  <c r="C47" i="6" s="1"/>
  <c r="D47" i="6" s="1"/>
  <c r="C48" i="6" s="1"/>
  <c r="D48" i="6" s="1"/>
  <c r="C49" i="6" s="1"/>
  <c r="D49" i="6" s="1"/>
  <c r="C50" i="6" s="1"/>
  <c r="D50" i="6" s="1"/>
  <c r="C51" i="6" s="1"/>
  <c r="D51" i="6" s="1"/>
  <c r="E22" i="2"/>
  <c r="C5" i="3"/>
  <c r="AF12" i="2"/>
  <c r="A11" i="1"/>
  <c r="AF19" i="2"/>
  <c r="A18" i="1"/>
  <c r="AF15" i="2"/>
  <c r="A14" i="1"/>
  <c r="AF22" i="2"/>
  <c r="A21" i="1"/>
  <c r="AF4" i="2"/>
  <c r="A3" i="1"/>
  <c r="D14" i="1" s="1"/>
  <c r="AF17" i="2"/>
  <c r="A16" i="1"/>
  <c r="AF13" i="2"/>
  <c r="A12" i="1"/>
  <c r="C7" i="3"/>
  <c r="S10" i="2"/>
  <c r="AC10" i="2"/>
  <c r="S13" i="2"/>
  <c r="AC13" i="2"/>
  <c r="S23" i="2"/>
  <c r="S2" i="2"/>
  <c r="S7" i="2"/>
  <c r="T7" i="2" s="1"/>
  <c r="AF30" i="2" s="1"/>
  <c r="AC7" i="2"/>
  <c r="S16" i="2"/>
  <c r="T16" i="2" s="1"/>
  <c r="AF39" i="2" s="1"/>
  <c r="AC16" i="2"/>
  <c r="S9" i="2"/>
  <c r="T9" i="2" s="1"/>
  <c r="AF32" i="2" s="1"/>
  <c r="AC9" i="2"/>
  <c r="S14" i="2"/>
  <c r="AC14" i="2"/>
  <c r="S4" i="2"/>
  <c r="T4" i="2" s="1"/>
  <c r="AF27" i="2" s="1"/>
  <c r="AH27" i="2" s="1"/>
  <c r="AC4" i="2"/>
  <c r="S19" i="2"/>
  <c r="T19" i="2" s="1"/>
  <c r="AF42" i="2" s="1"/>
  <c r="AC19" i="2"/>
  <c r="S20" i="2"/>
  <c r="T20" i="2" s="1"/>
  <c r="AF43" i="2" s="1"/>
  <c r="AC20" i="2"/>
  <c r="S5" i="2"/>
  <c r="T5" i="2" s="1"/>
  <c r="AF28" i="2" s="1"/>
  <c r="AC5" i="2"/>
  <c r="S18" i="2"/>
  <c r="T18" i="2" s="1"/>
  <c r="AF41" i="2" s="1"/>
  <c r="AC18" i="2"/>
  <c r="S21" i="2"/>
  <c r="T21" i="2" s="1"/>
  <c r="AF44" i="2" s="1"/>
  <c r="AC21" i="2"/>
  <c r="S8" i="2"/>
  <c r="T8" i="2" s="1"/>
  <c r="AF31" i="2" s="1"/>
  <c r="AC8" i="2"/>
  <c r="S15" i="2"/>
  <c r="T15" i="2" s="1"/>
  <c r="AF38" i="2" s="1"/>
  <c r="AC15" i="2"/>
  <c r="S6" i="2"/>
  <c r="T6" i="2" s="1"/>
  <c r="AF29" i="2" s="1"/>
  <c r="AC6" i="2"/>
  <c r="S17" i="2"/>
  <c r="T17" i="2" s="1"/>
  <c r="AF40" i="2" s="1"/>
  <c r="AC17" i="2"/>
  <c r="S22" i="2"/>
  <c r="T22" i="2" s="1"/>
  <c r="AF45" i="2" s="1"/>
  <c r="AC22" i="2"/>
  <c r="S12" i="2"/>
  <c r="T12" i="2" s="1"/>
  <c r="AF35" i="2" s="1"/>
  <c r="AC12" i="2"/>
  <c r="S11" i="2"/>
  <c r="T11" i="2" s="1"/>
  <c r="AF34" i="2" s="1"/>
  <c r="AC11" i="2"/>
  <c r="AC23" i="2"/>
  <c r="K16" i="2"/>
  <c r="L16" i="2"/>
  <c r="K10" i="2"/>
  <c r="L10" i="2"/>
  <c r="K8" i="2"/>
  <c r="L8" i="2"/>
  <c r="E5" i="2"/>
  <c r="K20" i="2"/>
  <c r="L20" i="2"/>
  <c r="E7" i="2"/>
  <c r="K15" i="2"/>
  <c r="L15" i="2"/>
  <c r="E18" i="2"/>
  <c r="K6" i="2"/>
  <c r="L6" i="2"/>
  <c r="L21" i="2"/>
  <c r="K21" i="2"/>
  <c r="E20" i="2"/>
  <c r="E16" i="2"/>
  <c r="K17" i="2"/>
  <c r="L17" i="2"/>
  <c r="L5" i="2"/>
  <c r="K5" i="2"/>
  <c r="K7" i="2"/>
  <c r="L7" i="2"/>
  <c r="K12" i="2"/>
  <c r="L12" i="2"/>
  <c r="E6" i="2"/>
  <c r="E21" i="2"/>
  <c r="K19" i="2"/>
  <c r="L19" i="2"/>
  <c r="E9" i="2"/>
  <c r="K4" i="2"/>
  <c r="L4" i="2"/>
  <c r="K3" i="2"/>
  <c r="L3" i="2"/>
  <c r="L18" i="2"/>
  <c r="K18" i="2"/>
  <c r="E10" i="2"/>
  <c r="E8" i="2"/>
  <c r="K9" i="2"/>
  <c r="L9" i="2"/>
  <c r="E14" i="2"/>
  <c r="K13" i="2"/>
  <c r="L13" i="2"/>
  <c r="K22" i="2"/>
  <c r="L22" i="2"/>
  <c r="K11" i="2"/>
  <c r="L11" i="2"/>
  <c r="E3" i="2"/>
  <c r="A2" i="1" s="1"/>
  <c r="K14" i="2"/>
  <c r="L14" i="2"/>
  <c r="E11" i="2"/>
  <c r="C52" i="6" l="1"/>
  <c r="C53" i="6" s="1"/>
  <c r="C54" i="6" s="1"/>
  <c r="C55" i="6" s="1"/>
  <c r="C56" i="6" s="1"/>
  <c r="C57" i="6" s="1"/>
  <c r="C58" i="6" s="1"/>
  <c r="C59" i="6" s="1"/>
  <c r="C60" i="6" s="1"/>
  <c r="C61" i="6" s="1"/>
  <c r="AI28" i="2"/>
  <c r="E6" i="1"/>
  <c r="D13" i="1"/>
  <c r="D15" i="1" s="1"/>
  <c r="E2" i="1"/>
  <c r="L2" i="1" s="1"/>
  <c r="M2" i="1" s="1"/>
  <c r="D10" i="1"/>
  <c r="D19" i="1"/>
  <c r="D18" i="1"/>
  <c r="E5" i="1"/>
  <c r="AF20" i="2"/>
  <c r="A19" i="1"/>
  <c r="AF8" i="2"/>
  <c r="A7" i="1"/>
  <c r="AF9" i="2"/>
  <c r="A8" i="1"/>
  <c r="W4" i="2"/>
  <c r="U4" i="2" s="1"/>
  <c r="AF10" i="2"/>
  <c r="A9" i="1"/>
  <c r="AF5" i="2"/>
  <c r="A4" i="1"/>
  <c r="AF7" i="2"/>
  <c r="A6" i="1"/>
  <c r="AF11" i="2"/>
  <c r="A10" i="1"/>
  <c r="AF21" i="2"/>
  <c r="A20" i="1"/>
  <c r="AF18" i="2"/>
  <c r="A17" i="1"/>
  <c r="AF14" i="2"/>
  <c r="A13" i="1"/>
  <c r="AF16" i="2"/>
  <c r="A15" i="1"/>
  <c r="AF6" i="2"/>
  <c r="A5" i="1"/>
  <c r="B8" i="3"/>
  <c r="AA20" i="2"/>
  <c r="AB20" i="2"/>
  <c r="AA13" i="2"/>
  <c r="AB13" i="2"/>
  <c r="AF3" i="2"/>
  <c r="AH3" i="2" s="1"/>
  <c r="H11" i="2"/>
  <c r="H13" i="2"/>
  <c r="H18" i="2"/>
  <c r="H12" i="2"/>
  <c r="H21" i="2"/>
  <c r="H5" i="2"/>
  <c r="H6" i="2"/>
  <c r="H22" i="2"/>
  <c r="H4" i="2"/>
  <c r="H19" i="2"/>
  <c r="H8" i="2"/>
  <c r="H7" i="2"/>
  <c r="H9" i="2"/>
  <c r="H20" i="2"/>
  <c r="H15" i="2"/>
  <c r="H3" i="2"/>
  <c r="H17" i="2"/>
  <c r="H16" i="2"/>
  <c r="H14" i="2"/>
  <c r="H10" i="2"/>
  <c r="AA15" i="2"/>
  <c r="AB15" i="2"/>
  <c r="AA18" i="2"/>
  <c r="AB18" i="2"/>
  <c r="AA19" i="2"/>
  <c r="AB19" i="2"/>
  <c r="AA14" i="2"/>
  <c r="AB14" i="2"/>
  <c r="W8" i="2"/>
  <c r="T13" i="2"/>
  <c r="AF36" i="2" s="1"/>
  <c r="AA21" i="2"/>
  <c r="AB21" i="2"/>
  <c r="AA23" i="2"/>
  <c r="AB23" i="2"/>
  <c r="AA17" i="2"/>
  <c r="AB17" i="2"/>
  <c r="T14" i="2"/>
  <c r="AF37" i="2" s="1"/>
  <c r="AB7" i="2"/>
  <c r="AA7" i="2"/>
  <c r="AA10" i="2"/>
  <c r="AB10" i="2"/>
  <c r="AA11" i="2"/>
  <c r="AB11" i="2"/>
  <c r="AA8" i="2"/>
  <c r="AB8" i="2"/>
  <c r="AA9" i="2"/>
  <c r="AB9" i="2"/>
  <c r="T10" i="2"/>
  <c r="AF33" i="2" s="1"/>
  <c r="W5" i="2"/>
  <c r="AA22" i="2"/>
  <c r="AB22" i="2"/>
  <c r="W9" i="2"/>
  <c r="W7" i="2"/>
  <c r="AA5" i="2"/>
  <c r="AB5" i="2"/>
  <c r="AA4" i="2"/>
  <c r="AB4" i="2"/>
  <c r="W6" i="2"/>
  <c r="T23" i="2"/>
  <c r="AF46" i="2" s="1"/>
  <c r="AA12" i="2"/>
  <c r="AB12" i="2"/>
  <c r="AA6" i="2"/>
  <c r="AB6" i="2"/>
  <c r="AG28" i="2"/>
  <c r="Z5" i="2" s="1"/>
  <c r="AH28" i="2"/>
  <c r="AG27" i="2"/>
  <c r="Z4" i="2" s="1"/>
  <c r="AB16" i="2"/>
  <c r="AA16" i="2"/>
  <c r="P4" i="3" l="1"/>
  <c r="W10" i="2"/>
  <c r="U10" i="2" s="1"/>
  <c r="V4" i="2"/>
  <c r="W11" i="2"/>
  <c r="L5" i="1"/>
  <c r="M5" i="1" s="1"/>
  <c r="W12" i="2"/>
  <c r="V12" i="2" s="1"/>
  <c r="W16" i="2"/>
  <c r="V16" i="2" s="1"/>
  <c r="W13" i="2"/>
  <c r="V13" i="2" s="1"/>
  <c r="D20" i="1"/>
  <c r="W20" i="2"/>
  <c r="U20" i="2" s="1"/>
  <c r="L7" i="1"/>
  <c r="M7" i="1" s="1"/>
  <c r="L6" i="1"/>
  <c r="M6" i="1" s="1"/>
  <c r="F15" i="2"/>
  <c r="G15" i="2"/>
  <c r="F6" i="2"/>
  <c r="G6" i="2"/>
  <c r="F20" i="2"/>
  <c r="G20" i="2"/>
  <c r="F5" i="2"/>
  <c r="G5" i="2"/>
  <c r="AG3" i="2"/>
  <c r="J3" i="2" s="1"/>
  <c r="B2" i="1" s="1"/>
  <c r="AI4" i="2"/>
  <c r="AH4" i="2" s="1"/>
  <c r="W23" i="2"/>
  <c r="U6" i="2"/>
  <c r="V6" i="2"/>
  <c r="U5" i="2"/>
  <c r="V5" i="2"/>
  <c r="U12" i="2"/>
  <c r="F9" i="2"/>
  <c r="G9" i="2"/>
  <c r="F21" i="2"/>
  <c r="G21" i="2"/>
  <c r="W15" i="2"/>
  <c r="W18" i="2"/>
  <c r="G10" i="2"/>
  <c r="F10" i="2"/>
  <c r="F7" i="2"/>
  <c r="G7" i="2"/>
  <c r="F12" i="2"/>
  <c r="G12" i="2"/>
  <c r="W17" i="2"/>
  <c r="U9" i="2"/>
  <c r="V9" i="2"/>
  <c r="U11" i="2"/>
  <c r="V11" i="2"/>
  <c r="W22" i="2"/>
  <c r="V8" i="2"/>
  <c r="U8" i="2"/>
  <c r="F14" i="2"/>
  <c r="G14" i="2"/>
  <c r="F8" i="2"/>
  <c r="G8" i="2"/>
  <c r="F18" i="2"/>
  <c r="G18" i="2"/>
  <c r="F22" i="2"/>
  <c r="G22" i="2"/>
  <c r="W14" i="2"/>
  <c r="AJ29" i="2"/>
  <c r="AH29" i="2" s="1"/>
  <c r="F16" i="2"/>
  <c r="G16" i="2"/>
  <c r="F19" i="2"/>
  <c r="G19" i="2"/>
  <c r="G13" i="2"/>
  <c r="F13" i="2"/>
  <c r="U7" i="2"/>
  <c r="V7" i="2"/>
  <c r="F3" i="2"/>
  <c r="G3" i="2"/>
  <c r="W21" i="2"/>
  <c r="W19" i="2"/>
  <c r="F17" i="2"/>
  <c r="G17" i="2"/>
  <c r="F4" i="2"/>
  <c r="G4" i="2"/>
  <c r="F11" i="2"/>
  <c r="G11" i="2"/>
  <c r="N5" i="3" l="1"/>
  <c r="O5" i="3" s="1"/>
  <c r="U16" i="2"/>
  <c r="U13" i="2"/>
  <c r="V10" i="2"/>
  <c r="V20" i="2"/>
  <c r="U22" i="2"/>
  <c r="V22" i="2"/>
  <c r="AG29" i="2"/>
  <c r="Z6" i="2" s="1"/>
  <c r="V15" i="2"/>
  <c r="U15" i="2"/>
  <c r="U18" i="2"/>
  <c r="V18" i="2"/>
  <c r="U21" i="2"/>
  <c r="V21" i="2"/>
  <c r="U19" i="2"/>
  <c r="V19" i="2"/>
  <c r="U14" i="2"/>
  <c r="V14" i="2"/>
  <c r="U23" i="2"/>
  <c r="V23" i="2"/>
  <c r="AJ5" i="2"/>
  <c r="AI5" i="2" s="1"/>
  <c r="U17" i="2"/>
  <c r="V17" i="2"/>
  <c r="AG4" i="2"/>
  <c r="J4" i="2" s="1"/>
  <c r="B3" i="1" s="1"/>
  <c r="AI29" i="2"/>
  <c r="AK30" i="2" s="1"/>
  <c r="P5" i="3" l="1"/>
  <c r="N6" i="3" s="1"/>
  <c r="O6" i="3" s="1"/>
  <c r="AH5" i="2"/>
  <c r="AK6" i="2" s="1"/>
  <c r="AJ6" i="2" s="1"/>
  <c r="AG30" i="2"/>
  <c r="Z7" i="2" s="1"/>
  <c r="AH30" i="2"/>
  <c r="AJ30" i="2"/>
  <c r="AG5" i="2"/>
  <c r="J5" i="2" s="1"/>
  <c r="B4" i="1" s="1"/>
  <c r="AI30" i="2"/>
  <c r="P6" i="3" l="1"/>
  <c r="N7" i="3" s="1"/>
  <c r="O7" i="3" s="1"/>
  <c r="AI6" i="2"/>
  <c r="AH6" i="2"/>
  <c r="AL31" i="2"/>
  <c r="AI31" i="2" s="1"/>
  <c r="AG6" i="2"/>
  <c r="J6" i="2" s="1"/>
  <c r="B5" i="1" s="1"/>
  <c r="P7" i="3" l="1"/>
  <c r="N8" i="3" s="1"/>
  <c r="AL7" i="2"/>
  <c r="AI7" i="2" s="1"/>
  <c r="AH31" i="2"/>
  <c r="AG31" i="2"/>
  <c r="Z8" i="2" s="1"/>
  <c r="AJ31" i="2"/>
  <c r="AK31" i="2"/>
  <c r="O8" i="3" l="1"/>
  <c r="P8" i="3" s="1"/>
  <c r="N9" i="3" s="1"/>
  <c r="O9" i="3" s="1"/>
  <c r="P9" i="3" s="1"/>
  <c r="N10" i="3" s="1"/>
  <c r="O10" i="3" s="1"/>
  <c r="AH7" i="2"/>
  <c r="AK7" i="2"/>
  <c r="AG7" i="2"/>
  <c r="J7" i="2" s="1"/>
  <c r="B6" i="1" s="1"/>
  <c r="AJ7" i="2"/>
  <c r="AM32" i="2"/>
  <c r="AJ32" i="2" s="1"/>
  <c r="AM8" i="2" l="1"/>
  <c r="AH8" i="2" s="1"/>
  <c r="P10" i="3"/>
  <c r="AG32" i="2"/>
  <c r="Z9" i="2" s="1"/>
  <c r="AL32" i="2"/>
  <c r="AK32" i="2"/>
  <c r="AH32" i="2"/>
  <c r="AI32" i="2"/>
  <c r="AG8" i="2"/>
  <c r="J8" i="2" s="1"/>
  <c r="B7" i="1" s="1"/>
  <c r="AJ8" i="2"/>
  <c r="AI8" i="2"/>
  <c r="AK8" i="2"/>
  <c r="AL8" i="2"/>
  <c r="AN9" i="2" l="1"/>
  <c r="AM9" i="2" s="1"/>
  <c r="N11" i="3"/>
  <c r="O11" i="3" s="1"/>
  <c r="AN33" i="2"/>
  <c r="AI33" i="2" s="1"/>
  <c r="AJ9" i="2" l="1"/>
  <c r="AI9" i="2"/>
  <c r="AH9" i="2"/>
  <c r="AK9" i="2"/>
  <c r="AG9" i="2"/>
  <c r="J9" i="2" s="1"/>
  <c r="B8" i="1" s="1"/>
  <c r="AL9" i="2"/>
  <c r="P11" i="3"/>
  <c r="AG33" i="2"/>
  <c r="Z10" i="2" s="1"/>
  <c r="AJ33" i="2"/>
  <c r="AH33" i="2"/>
  <c r="AL33" i="2"/>
  <c r="AM33" i="2"/>
  <c r="AK33" i="2"/>
  <c r="AO10" i="2" l="1"/>
  <c r="AM10" i="2" s="1"/>
  <c r="N12" i="3"/>
  <c r="O12" i="3" s="1"/>
  <c r="AO34" i="2"/>
  <c r="AK34" i="2" s="1"/>
  <c r="P12" i="3" l="1"/>
  <c r="N13" i="3" s="1"/>
  <c r="O13" i="3" s="1"/>
  <c r="AG10" i="2"/>
  <c r="J10" i="2" s="1"/>
  <c r="B9" i="1" s="1"/>
  <c r="AI10" i="2"/>
  <c r="AL10" i="2"/>
  <c r="AN10" i="2"/>
  <c r="AJ10" i="2"/>
  <c r="AH10" i="2"/>
  <c r="AP11" i="2" s="1"/>
  <c r="AO11" i="2" s="1"/>
  <c r="AK10" i="2"/>
  <c r="AM34" i="2"/>
  <c r="AJ34" i="2"/>
  <c r="AH34" i="2"/>
  <c r="AG34" i="2"/>
  <c r="Z11" i="2" s="1"/>
  <c r="AN34" i="2"/>
  <c r="AI34" i="2"/>
  <c r="AL34" i="2"/>
  <c r="P13" i="3" l="1"/>
  <c r="N14" i="3" s="1"/>
  <c r="O14" i="3" s="1"/>
  <c r="AI11" i="2"/>
  <c r="AP35" i="2"/>
  <c r="AO35" i="2" s="1"/>
  <c r="AG11" i="2"/>
  <c r="J11" i="2" s="1"/>
  <c r="B10" i="1" s="1"/>
  <c r="AJ11" i="2"/>
  <c r="AL11" i="2"/>
  <c r="AK11" i="2"/>
  <c r="AM11" i="2"/>
  <c r="AN11" i="2"/>
  <c r="AH11" i="2"/>
  <c r="P14" i="3" l="1"/>
  <c r="N15" i="3" s="1"/>
  <c r="O15" i="3" s="1"/>
  <c r="AN35" i="2"/>
  <c r="AM35" i="2"/>
  <c r="AL35" i="2"/>
  <c r="AI35" i="2"/>
  <c r="AH35" i="2"/>
  <c r="AK35" i="2"/>
  <c r="AG35" i="2"/>
  <c r="Z12" i="2" s="1"/>
  <c r="AQ12" i="2"/>
  <c r="AH12" i="2" s="1"/>
  <c r="AJ35" i="2"/>
  <c r="P15" i="3" l="1"/>
  <c r="N16" i="3" s="1"/>
  <c r="O16" i="3" s="1"/>
  <c r="AJ12" i="2"/>
  <c r="AG12" i="2"/>
  <c r="J12" i="2" s="1"/>
  <c r="B11" i="1" s="1"/>
  <c r="AO12" i="2"/>
  <c r="AI12" i="2"/>
  <c r="AP12" i="2"/>
  <c r="AK12" i="2"/>
  <c r="AM12" i="2"/>
  <c r="AN12" i="2"/>
  <c r="AQ36" i="2"/>
  <c r="AK36" i="2" s="1"/>
  <c r="AL12" i="2"/>
  <c r="P16" i="3" l="1"/>
  <c r="N17" i="3" s="1"/>
  <c r="O17" i="3" s="1"/>
  <c r="AH36" i="2"/>
  <c r="AO36" i="2"/>
  <c r="AL36" i="2"/>
  <c r="AM36" i="2"/>
  <c r="AI36" i="2"/>
  <c r="AG36" i="2"/>
  <c r="Z13" i="2" s="1"/>
  <c r="AN36" i="2"/>
  <c r="AP36" i="2"/>
  <c r="AJ36" i="2"/>
  <c r="AR13" i="2"/>
  <c r="AJ13" i="2" s="1"/>
  <c r="P17" i="3" l="1"/>
  <c r="N18" i="3" s="1"/>
  <c r="O18" i="3" s="1"/>
  <c r="AG13" i="2"/>
  <c r="J13" i="2" s="1"/>
  <c r="B12" i="1" s="1"/>
  <c r="AH13" i="2"/>
  <c r="AQ13" i="2"/>
  <c r="AL13" i="2"/>
  <c r="AR37" i="2"/>
  <c r="AK13" i="2"/>
  <c r="AM13" i="2"/>
  <c r="AO13" i="2"/>
  <c r="AI13" i="2"/>
  <c r="AN13" i="2"/>
  <c r="AP13" i="2"/>
  <c r="P18" i="3" l="1"/>
  <c r="N19" i="3" s="1"/>
  <c r="O19" i="3" s="1"/>
  <c r="AG37" i="2"/>
  <c r="Z14" i="2" s="1"/>
  <c r="AQ37" i="2"/>
  <c r="AO37" i="2"/>
  <c r="AI37" i="2"/>
  <c r="AH37" i="2"/>
  <c r="AN37" i="2"/>
  <c r="AP37" i="2"/>
  <c r="AL37" i="2"/>
  <c r="AM37" i="2"/>
  <c r="AS14" i="2"/>
  <c r="AP14" i="2" s="1"/>
  <c r="AK37" i="2"/>
  <c r="AJ37" i="2"/>
  <c r="P19" i="3" l="1"/>
  <c r="N20" i="3" s="1"/>
  <c r="O20" i="3" s="1"/>
  <c r="AI14" i="2"/>
  <c r="AK14" i="2"/>
  <c r="AJ14" i="2"/>
  <c r="AG14" i="2"/>
  <c r="J14" i="2" s="1"/>
  <c r="B13" i="1" s="1"/>
  <c r="AQ14" i="2"/>
  <c r="AN14" i="2"/>
  <c r="AH14" i="2"/>
  <c r="AL14" i="2"/>
  <c r="AO14" i="2"/>
  <c r="AS38" i="2"/>
  <c r="AK38" i="2" s="1"/>
  <c r="AM14" i="2"/>
  <c r="AR14" i="2"/>
  <c r="P20" i="3" l="1"/>
  <c r="N21" i="3" s="1"/>
  <c r="O21" i="3" s="1"/>
  <c r="AT15" i="2"/>
  <c r="AI15" i="2" s="1"/>
  <c r="AN38" i="2"/>
  <c r="AL38" i="2"/>
  <c r="AG38" i="2"/>
  <c r="Z15" i="2" s="1"/>
  <c r="AR38" i="2"/>
  <c r="AH38" i="2"/>
  <c r="AP38" i="2"/>
  <c r="AM38" i="2"/>
  <c r="AQ38" i="2"/>
  <c r="AJ38" i="2"/>
  <c r="AO38" i="2"/>
  <c r="AI38" i="2"/>
  <c r="P21" i="3" l="1"/>
  <c r="N22" i="3" s="1"/>
  <c r="O22" i="3" s="1"/>
  <c r="AN15" i="2"/>
  <c r="AM15" i="2"/>
  <c r="AL15" i="2"/>
  <c r="AQ15" i="2"/>
  <c r="AJ15" i="2"/>
  <c r="AR15" i="2"/>
  <c r="AT39" i="2"/>
  <c r="AO39" i="2" s="1"/>
  <c r="AG15" i="2"/>
  <c r="J15" i="2" s="1"/>
  <c r="B14" i="1" s="1"/>
  <c r="AH15" i="2"/>
  <c r="AO15" i="2"/>
  <c r="AP15" i="2"/>
  <c r="AS15" i="2"/>
  <c r="AK15" i="2"/>
  <c r="P22" i="3" l="1"/>
  <c r="N23" i="3" s="1"/>
  <c r="O23" i="3" s="1"/>
  <c r="AS39" i="2"/>
  <c r="AN39" i="2"/>
  <c r="AU16" i="2"/>
  <c r="AR39" i="2"/>
  <c r="AI39" i="2"/>
  <c r="AP39" i="2"/>
  <c r="AK39" i="2"/>
  <c r="AJ39" i="2"/>
  <c r="AL39" i="2"/>
  <c r="AM39" i="2"/>
  <c r="AG39" i="2"/>
  <c r="Z16" i="2" s="1"/>
  <c r="AQ39" i="2"/>
  <c r="AH39" i="2"/>
  <c r="P23" i="3" l="1"/>
  <c r="N24" i="3" s="1"/>
  <c r="O24" i="3" s="1"/>
  <c r="AG16" i="2"/>
  <c r="J16" i="2" s="1"/>
  <c r="B15" i="1" s="1"/>
  <c r="AN16" i="2"/>
  <c r="AT16" i="2"/>
  <c r="AK16" i="2"/>
  <c r="AM16" i="2"/>
  <c r="AQ16" i="2"/>
  <c r="AH16" i="2"/>
  <c r="AL16" i="2"/>
  <c r="AS16" i="2"/>
  <c r="AI16" i="2"/>
  <c r="AJ16" i="2"/>
  <c r="AP16" i="2"/>
  <c r="AU40" i="2"/>
  <c r="AR40" i="2" s="1"/>
  <c r="AR16" i="2"/>
  <c r="AO16" i="2"/>
  <c r="P24" i="3" l="1"/>
  <c r="N25" i="3" s="1"/>
  <c r="O25" i="3" s="1"/>
  <c r="AQ40" i="2"/>
  <c r="AH40" i="2"/>
  <c r="AI40" i="2"/>
  <c r="AL40" i="2"/>
  <c r="AO40" i="2"/>
  <c r="AV17" i="2"/>
  <c r="AK17" i="2" s="1"/>
  <c r="AP40" i="2"/>
  <c r="AM40" i="2"/>
  <c r="AS40" i="2"/>
  <c r="AN40" i="2"/>
  <c r="AK40" i="2"/>
  <c r="AG40" i="2"/>
  <c r="Z17" i="2" s="1"/>
  <c r="AT40" i="2"/>
  <c r="AJ40" i="2"/>
  <c r="P25" i="3" l="1"/>
  <c r="N26" i="3" s="1"/>
  <c r="O26" i="3" s="1"/>
  <c r="AV41" i="2"/>
  <c r="AM41" i="2" s="1"/>
  <c r="AO17" i="2"/>
  <c r="AQ17" i="2"/>
  <c r="AH17" i="2"/>
  <c r="AL17" i="2"/>
  <c r="AN17" i="2"/>
  <c r="AR17" i="2"/>
  <c r="AM17" i="2"/>
  <c r="AS17" i="2"/>
  <c r="AT17" i="2"/>
  <c r="AG17" i="2"/>
  <c r="J17" i="2" s="1"/>
  <c r="B16" i="1" s="1"/>
  <c r="AI17" i="2"/>
  <c r="AU17" i="2"/>
  <c r="AJ17" i="2"/>
  <c r="AP17" i="2"/>
  <c r="P26" i="3" l="1"/>
  <c r="N27" i="3" s="1"/>
  <c r="O27" i="3" s="1"/>
  <c r="AN41" i="2"/>
  <c r="AQ41" i="2"/>
  <c r="AJ41" i="2"/>
  <c r="AS41" i="2"/>
  <c r="AP41" i="2"/>
  <c r="AI41" i="2"/>
  <c r="AH41" i="2"/>
  <c r="AR41" i="2"/>
  <c r="AK41" i="2"/>
  <c r="AU41" i="2"/>
  <c r="AT41" i="2"/>
  <c r="AO41" i="2"/>
  <c r="AG41" i="2"/>
  <c r="Z18" i="2" s="1"/>
  <c r="AL41" i="2"/>
  <c r="AW18" i="2"/>
  <c r="AM18" i="2" s="1"/>
  <c r="P27" i="3" l="1"/>
  <c r="N28" i="3" s="1"/>
  <c r="O28" i="3" s="1"/>
  <c r="AW42" i="2"/>
  <c r="AL42" i="2" s="1"/>
  <c r="AL18" i="2"/>
  <c r="AN18" i="2"/>
  <c r="AG18" i="2"/>
  <c r="J18" i="2" s="1"/>
  <c r="B17" i="1" s="1"/>
  <c r="AV18" i="2"/>
  <c r="AH18" i="2"/>
  <c r="AO18" i="2"/>
  <c r="AT18" i="2"/>
  <c r="AQ18" i="2"/>
  <c r="AP18" i="2"/>
  <c r="AJ18" i="2"/>
  <c r="AU18" i="2"/>
  <c r="AI18" i="2"/>
  <c r="AS18" i="2"/>
  <c r="AR18" i="2"/>
  <c r="AK18" i="2"/>
  <c r="P28" i="3" l="1"/>
  <c r="N29" i="3" s="1"/>
  <c r="O29" i="3" s="1"/>
  <c r="AG42" i="2"/>
  <c r="Z19" i="2" s="1"/>
  <c r="AS42" i="2"/>
  <c r="AH42" i="2"/>
  <c r="AK42" i="2"/>
  <c r="AR42" i="2"/>
  <c r="AM42" i="2"/>
  <c r="AI42" i="2"/>
  <c r="AJ42" i="2"/>
  <c r="AQ42" i="2"/>
  <c r="AU42" i="2"/>
  <c r="AN42" i="2"/>
  <c r="AT42" i="2"/>
  <c r="AO42" i="2"/>
  <c r="AP42" i="2"/>
  <c r="AV42" i="2"/>
  <c r="AX19" i="2"/>
  <c r="AR19" i="2" s="1"/>
  <c r="P29" i="3" l="1"/>
  <c r="N30" i="3" s="1"/>
  <c r="O30" i="3" s="1"/>
  <c r="AX43" i="2"/>
  <c r="AK43" i="2" s="1"/>
  <c r="AI19" i="2"/>
  <c r="AL19" i="2"/>
  <c r="AM19" i="2"/>
  <c r="AU19" i="2"/>
  <c r="AQ19" i="2"/>
  <c r="AT19" i="2"/>
  <c r="AP19" i="2"/>
  <c r="AJ19" i="2"/>
  <c r="AO19" i="2"/>
  <c r="AG19" i="2"/>
  <c r="J19" i="2" s="1"/>
  <c r="B18" i="1" s="1"/>
  <c r="AW19" i="2"/>
  <c r="AN19" i="2"/>
  <c r="AK19" i="2"/>
  <c r="AV19" i="2"/>
  <c r="AH19" i="2"/>
  <c r="AS19" i="2"/>
  <c r="P30" i="3" l="1"/>
  <c r="N31" i="3" s="1"/>
  <c r="O31" i="3" s="1"/>
  <c r="AL43" i="2"/>
  <c r="AW43" i="2"/>
  <c r="AS43" i="2"/>
  <c r="AI43" i="2"/>
  <c r="AH43" i="2"/>
  <c r="AT43" i="2"/>
  <c r="AJ43" i="2"/>
  <c r="AP43" i="2"/>
  <c r="AV43" i="2"/>
  <c r="AO43" i="2"/>
  <c r="AM43" i="2"/>
  <c r="AU43" i="2"/>
  <c r="AR43" i="2"/>
  <c r="AQ43" i="2"/>
  <c r="AG43" i="2"/>
  <c r="Z20" i="2" s="1"/>
  <c r="AN43" i="2"/>
  <c r="AY20" i="2"/>
  <c r="AQ20" i="2" s="1"/>
  <c r="P31" i="3" l="1"/>
  <c r="N32" i="3" s="1"/>
  <c r="O32" i="3" s="1"/>
  <c r="AY44" i="2"/>
  <c r="AW44" i="2" s="1"/>
  <c r="AS20" i="2"/>
  <c r="AR20" i="2"/>
  <c r="AI20" i="2"/>
  <c r="AT20" i="2"/>
  <c r="AL20" i="2"/>
  <c r="AV20" i="2"/>
  <c r="AP20" i="2"/>
  <c r="AK20" i="2"/>
  <c r="AJ20" i="2"/>
  <c r="AM20" i="2"/>
  <c r="AN20" i="2"/>
  <c r="AU20" i="2"/>
  <c r="AX20" i="2"/>
  <c r="AW20" i="2"/>
  <c r="AO20" i="2"/>
  <c r="AH20" i="2"/>
  <c r="P32" i="3" l="1"/>
  <c r="N33" i="3" s="1"/>
  <c r="O33" i="3" s="1"/>
  <c r="AO44" i="2"/>
  <c r="AS44" i="2"/>
  <c r="AK44" i="2"/>
  <c r="AT44" i="2"/>
  <c r="AQ44" i="2"/>
  <c r="AJ44" i="2"/>
  <c r="AH44" i="2"/>
  <c r="AZ45" i="2" s="1"/>
  <c r="AV45" i="2" s="1"/>
  <c r="AR44" i="2"/>
  <c r="AM44" i="2"/>
  <c r="AN44" i="2"/>
  <c r="AU44" i="2"/>
  <c r="AV44" i="2"/>
  <c r="AP44" i="2"/>
  <c r="AL44" i="2"/>
  <c r="AI44" i="2"/>
  <c r="AX44" i="2"/>
  <c r="AG44" i="2" s="1"/>
  <c r="Z21" i="2" s="1"/>
  <c r="AG20" i="2"/>
  <c r="J20" i="2" s="1"/>
  <c r="B19" i="1" s="1"/>
  <c r="AZ21" i="2"/>
  <c r="AI21" i="2" s="1"/>
  <c r="P33" i="3" l="1"/>
  <c r="N34" i="3" s="1"/>
  <c r="O34" i="3" s="1"/>
  <c r="AQ21" i="2"/>
  <c r="AW45" i="2"/>
  <c r="AM21" i="2"/>
  <c r="AV21" i="2"/>
  <c r="AO45" i="2"/>
  <c r="AY45" i="2"/>
  <c r="AJ45" i="2"/>
  <c r="AI45" i="2"/>
  <c r="AY21" i="2"/>
  <c r="AL45" i="2"/>
  <c r="AQ45" i="2"/>
  <c r="AP21" i="2"/>
  <c r="AU45" i="2"/>
  <c r="AP45" i="2"/>
  <c r="AH45" i="2"/>
  <c r="AU21" i="2"/>
  <c r="AR45" i="2"/>
  <c r="AH21" i="2"/>
  <c r="AN45" i="2"/>
  <c r="AM45" i="2"/>
  <c r="AT45" i="2"/>
  <c r="AJ21" i="2"/>
  <c r="AX45" i="2"/>
  <c r="AR21" i="2"/>
  <c r="AT21" i="2"/>
  <c r="AK45" i="2"/>
  <c r="AS21" i="2"/>
  <c r="AL21" i="2"/>
  <c r="AK21" i="2"/>
  <c r="AO21" i="2"/>
  <c r="AS45" i="2"/>
  <c r="AX21" i="2"/>
  <c r="AW21" i="2"/>
  <c r="AN21" i="2"/>
  <c r="P34" i="3" l="1"/>
  <c r="N35" i="3" s="1"/>
  <c r="O35" i="3" s="1"/>
  <c r="BA22" i="2"/>
  <c r="AL22" i="2" s="1"/>
  <c r="BA46" i="2"/>
  <c r="AZ46" i="2" s="1"/>
  <c r="AG21" i="2"/>
  <c r="J21" i="2" s="1"/>
  <c r="B20" i="1" s="1"/>
  <c r="AG45" i="2"/>
  <c r="Z22" i="2" s="1"/>
  <c r="P35" i="3" l="1"/>
  <c r="N36" i="3" s="1"/>
  <c r="O36" i="3" s="1"/>
  <c r="AQ22" i="2"/>
  <c r="AZ22" i="2"/>
  <c r="AH22" i="2"/>
  <c r="AL46" i="2"/>
  <c r="AP22" i="2"/>
  <c r="AO22" i="2"/>
  <c r="AI46" i="2"/>
  <c r="AK46" i="2" s="1"/>
  <c r="AN22" i="2"/>
  <c r="AS46" i="2"/>
  <c r="AO46" i="2"/>
  <c r="AU22" i="2"/>
  <c r="AY22" i="2"/>
  <c r="AQ46" i="2"/>
  <c r="AY46" i="2"/>
  <c r="AW46" i="2"/>
  <c r="AT46" i="2"/>
  <c r="AR22" i="2"/>
  <c r="AM46" i="2"/>
  <c r="AM22" i="2"/>
  <c r="AX22" i="2"/>
  <c r="AG22" i="2" s="1"/>
  <c r="J22" i="2" s="1"/>
  <c r="B21" i="1" s="1"/>
  <c r="AV22" i="2"/>
  <c r="AR46" i="2"/>
  <c r="AN46" i="2"/>
  <c r="AJ22" i="2"/>
  <c r="AU46" i="2"/>
  <c r="AX46" i="2"/>
  <c r="AG46" i="2" s="1"/>
  <c r="Z23" i="2" s="1"/>
  <c r="AH46" i="2"/>
  <c r="AI22" i="2"/>
  <c r="AK22" i="2" s="1"/>
  <c r="AJ46" i="2"/>
  <c r="AV46" i="2"/>
  <c r="AP46" i="2"/>
  <c r="AW22" i="2"/>
  <c r="AS22" i="2"/>
  <c r="AT22" i="2"/>
  <c r="P36" i="3" l="1"/>
  <c r="N37" i="3" s="1"/>
  <c r="O37" i="3" s="1"/>
  <c r="P37" i="3" l="1"/>
  <c r="N38" i="3" s="1"/>
  <c r="O38" i="3" s="1"/>
  <c r="P38" i="3" l="1"/>
  <c r="N39" i="3" s="1"/>
  <c r="O39" i="3" s="1"/>
  <c r="P39" i="3" l="1"/>
  <c r="N40" i="3" s="1"/>
  <c r="O40" i="3" s="1"/>
  <c r="P40" i="3" l="1"/>
  <c r="N41" i="3" s="1"/>
  <c r="O41" i="3" s="1"/>
  <c r="P41" i="3" l="1"/>
  <c r="N42" i="3" s="1"/>
  <c r="O42" i="3" s="1"/>
  <c r="P42" i="3" l="1"/>
  <c r="N43" i="3" s="1"/>
  <c r="O43" i="3" s="1"/>
  <c r="P43" i="3" l="1"/>
  <c r="N44" i="3" s="1"/>
  <c r="O44" i="3" s="1"/>
  <c r="P44" i="3" l="1"/>
  <c r="N45" i="3" s="1"/>
  <c r="O45" i="3" s="1"/>
  <c r="P45" i="3" l="1"/>
  <c r="N46" i="3" s="1"/>
  <c r="O46" i="3" s="1"/>
  <c r="P46" i="3" l="1"/>
  <c r="N47" i="3" s="1"/>
  <c r="O47" i="3" s="1"/>
  <c r="P47" i="3" l="1"/>
  <c r="N48" i="3" s="1"/>
  <c r="O48" i="3" s="1"/>
  <c r="P48" i="3" l="1"/>
  <c r="N49" i="3" s="1"/>
  <c r="O49" i="3" s="1"/>
  <c r="P49" i="3" l="1"/>
  <c r="N50" i="3" s="1"/>
  <c r="O50" i="3" s="1"/>
  <c r="P50" i="3" l="1"/>
  <c r="N51" i="3" s="1"/>
  <c r="O51" i="3" s="1"/>
  <c r="P51" i="3" l="1"/>
  <c r="N52" i="3" s="1"/>
  <c r="O52" i="3" s="1"/>
  <c r="F4" i="3" l="1"/>
  <c r="F2" i="3"/>
  <c r="F3" i="3"/>
  <c r="P52" i="3"/>
  <c r="F26" i="3" l="1"/>
  <c r="F27" i="3"/>
  <c r="F23" i="3"/>
  <c r="F24" i="3" s="1"/>
  <c r="F25" i="3"/>
  <c r="F30" i="3"/>
  <c r="G30" i="3" s="1"/>
  <c r="F22" i="3"/>
  <c r="F28" i="3" l="1"/>
  <c r="F29" i="3"/>
  <c r="G24" i="3"/>
</calcChain>
</file>

<file path=xl/sharedStrings.xml><?xml version="1.0" encoding="utf-8"?>
<sst xmlns="http://schemas.openxmlformats.org/spreadsheetml/2006/main" count="306" uniqueCount="243">
  <si>
    <r>
      <t>PACF y</t>
    </r>
    <r>
      <rPr>
        <b/>
        <vertAlign val="subscript"/>
        <sz val="11"/>
        <rFont val="Calibri"/>
        <family val="2"/>
        <scheme val="minor"/>
      </rPr>
      <t>t</t>
    </r>
  </si>
  <si>
    <t>f</t>
  </si>
  <si>
    <t>θ</t>
  </si>
  <si>
    <t>AR(1)</t>
  </si>
  <si>
    <t>AR(2)</t>
  </si>
  <si>
    <t>MA(1)</t>
  </si>
  <si>
    <t>MA(2)</t>
  </si>
  <si>
    <t>ARMA(1,1)</t>
  </si>
  <si>
    <t>Conditions</t>
  </si>
  <si>
    <t>Model</t>
  </si>
  <si>
    <t>Formulae</t>
  </si>
  <si>
    <t>Solution</t>
  </si>
  <si>
    <t>Value</t>
  </si>
  <si>
    <t>Solve</t>
  </si>
  <si>
    <r>
      <t>ACF y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</si>
  <si>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>PACF y</t>
    </r>
    <r>
      <rPr>
        <b/>
        <vertAlign val="subscript"/>
        <sz val="11"/>
        <color theme="1"/>
        <rFont val="Calibri"/>
        <family val="2"/>
        <scheme val="minor"/>
      </rPr>
      <t>t</t>
    </r>
  </si>
  <si>
    <t>E2=A2</t>
  </si>
  <si>
    <t>E5=(A2*(1-A3))/(1-A2^2)</t>
  </si>
  <si>
    <t>E6=(A3-A2^2)/(1-A2^2)</t>
  </si>
  <si>
    <t>D10=((-F10)/(1+F10^2))-A2</t>
  </si>
  <si>
    <t>D13=((-F13*(1-F14))/(1+F13^2+F14^2))-A2</t>
  </si>
  <si>
    <t>D14=((-F13)/(1+F13^2+F14^2))-A3</t>
  </si>
  <si>
    <t>D15=SUM(D13:D14)</t>
  </si>
  <si>
    <t>D18=(((1-E18*F18)*(E18-F18))/(1+F18^2-2*E18*F18))-A2</t>
  </si>
  <si>
    <t>D19=(E18*A2)-A3</t>
  </si>
  <si>
    <t>D20=SUM(D18:D19)</t>
  </si>
  <si>
    <t>k,20</t>
  </si>
  <si>
    <t>k,19</t>
  </si>
  <si>
    <t>k,18</t>
  </si>
  <si>
    <t>k,17</t>
  </si>
  <si>
    <t>k,16</t>
  </si>
  <si>
    <t>k,15</t>
  </si>
  <si>
    <t>k,14</t>
  </si>
  <si>
    <t>k,13</t>
  </si>
  <si>
    <t>k,12</t>
  </si>
  <si>
    <t>k,11</t>
  </si>
  <si>
    <t>k,10</t>
  </si>
  <si>
    <t>k,9</t>
  </si>
  <si>
    <t>k,8</t>
  </si>
  <si>
    <t>k,7</t>
  </si>
  <si>
    <t>k,6</t>
  </si>
  <si>
    <t>k,5</t>
  </si>
  <si>
    <t>k,4</t>
  </si>
  <si>
    <t>k,3</t>
  </si>
  <si>
    <t>k,2</t>
  </si>
  <si>
    <t>k,1</t>
  </si>
  <si>
    <r>
      <t>PACF r</t>
    </r>
    <r>
      <rPr>
        <vertAlign val="subscript"/>
        <sz val="11"/>
        <rFont val="Calibri"/>
        <family val="2"/>
        <scheme val="minor"/>
      </rPr>
      <t>k,j</t>
    </r>
  </si>
  <si>
    <r>
      <t>ACF r</t>
    </r>
    <r>
      <rPr>
        <vertAlign val="subscript"/>
        <sz val="11"/>
        <rFont val="Calibri"/>
        <family val="2"/>
        <scheme val="minor"/>
      </rPr>
      <t>k</t>
    </r>
  </si>
  <si>
    <t>Lag k</t>
  </si>
  <si>
    <t>2SE</t>
  </si>
  <si>
    <t>+CI</t>
  </si>
  <si>
    <t>-CI</t>
  </si>
  <si>
    <r>
      <t>PACF Diff y</t>
    </r>
    <r>
      <rPr>
        <b/>
        <vertAlign val="subscript"/>
        <sz val="11"/>
        <rFont val="Calibri"/>
        <family val="2"/>
        <scheme val="minor"/>
      </rPr>
      <t>t</t>
    </r>
  </si>
  <si>
    <r>
      <t>ACF Diff y</t>
    </r>
    <r>
      <rPr>
        <b/>
        <vertAlign val="subscript"/>
        <sz val="11"/>
        <rFont val="Calibri"/>
        <family val="2"/>
        <scheme val="minor"/>
      </rPr>
      <t>t</t>
    </r>
  </si>
  <si>
    <t>Autocov.</t>
  </si>
  <si>
    <r>
      <t>y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</t>
    </r>
    <r>
      <rPr>
        <b/>
        <sz val="11"/>
        <rFont val="Symbol"/>
        <family val="1"/>
        <charset val="2"/>
      </rPr>
      <t>m</t>
    </r>
  </si>
  <si>
    <r>
      <t>Diff y</t>
    </r>
    <r>
      <rPr>
        <b/>
        <vertAlign val="subscript"/>
        <sz val="11"/>
        <rFont val="Calibri"/>
        <family val="2"/>
        <scheme val="minor"/>
      </rPr>
      <t>t</t>
    </r>
  </si>
  <si>
    <t>Diff. Level</t>
  </si>
  <si>
    <r>
      <t>ACF y</t>
    </r>
    <r>
      <rPr>
        <b/>
        <vertAlign val="subscript"/>
        <sz val="11"/>
        <rFont val="Calibri"/>
        <family val="2"/>
        <scheme val="minor"/>
      </rPr>
      <t>t</t>
    </r>
  </si>
  <si>
    <r>
      <t>y</t>
    </r>
    <r>
      <rPr>
        <b/>
        <vertAlign val="subscript"/>
        <sz val="11"/>
        <rFont val="Calibri"/>
        <family val="2"/>
        <scheme val="minor"/>
      </rPr>
      <t>t</t>
    </r>
  </si>
  <si>
    <t xml:space="preserve">PERIOD </t>
  </si>
  <si>
    <r>
      <t xml:space="preserve">MA(3) 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(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-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)-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&lt;1</t>
    </r>
  </si>
  <si>
    <r>
      <t>MA(3) -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+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-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&lt;1</t>
    </r>
  </si>
  <si>
    <r>
      <t xml:space="preserve">MA(3) 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+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+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&lt;1</t>
    </r>
  </si>
  <si>
    <r>
      <t>MA(3) -1&lt;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&lt;1</t>
    </r>
  </si>
  <si>
    <r>
      <t xml:space="preserve">AR(3) 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(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-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)-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&lt;1</t>
    </r>
  </si>
  <si>
    <r>
      <t>AR(3) -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+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-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&lt;1</t>
    </r>
  </si>
  <si>
    <r>
      <t xml:space="preserve">3. Stationary data with </t>
    </r>
    <r>
      <rPr>
        <b/>
        <sz val="11"/>
        <color theme="1"/>
        <rFont val="Calibri"/>
        <family val="2"/>
        <scheme val="minor"/>
      </rPr>
      <t>zero</t>
    </r>
    <r>
      <rPr>
        <sz val="11"/>
        <color theme="1"/>
        <rFont val="Calibri"/>
        <family val="2"/>
        <scheme val="minor"/>
      </rPr>
      <t xml:space="preserve"> mean</t>
    </r>
  </si>
  <si>
    <t>3. AR(p) component present</t>
  </si>
  <si>
    <r>
      <t xml:space="preserve">AR(3) 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+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+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&lt;1</t>
    </r>
  </si>
  <si>
    <t>2. Twice differenced data</t>
  </si>
  <si>
    <r>
      <t xml:space="preserve">2. No AR(p) component, but in this case </t>
    </r>
    <r>
      <rPr>
        <sz val="11"/>
        <color theme="1"/>
        <rFont val="Symbol"/>
        <family val="1"/>
        <charset val="2"/>
      </rPr>
      <t>d=m</t>
    </r>
  </si>
  <si>
    <r>
      <t>AR(3) -1&lt;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&lt;1</t>
    </r>
  </si>
  <si>
    <t>1. Nonstationary data</t>
  </si>
  <si>
    <t>1. Stationary data, but with large mean</t>
  </si>
  <si>
    <r>
      <t xml:space="preserve">MA(2) 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-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&lt;1</t>
    </r>
  </si>
  <si>
    <t>No need to use if:</t>
  </si>
  <si>
    <t>Use if:</t>
  </si>
  <si>
    <r>
      <t xml:space="preserve">MA(2) 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+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&lt;1</t>
    </r>
  </si>
  <si>
    <r>
      <t xml:space="preserve">Rules for use of </t>
    </r>
    <r>
      <rPr>
        <b/>
        <u/>
        <sz val="11"/>
        <color theme="1"/>
        <rFont val="Symbol"/>
        <family val="1"/>
        <charset val="2"/>
      </rPr>
      <t>d</t>
    </r>
    <r>
      <rPr>
        <b/>
        <u/>
        <sz val="11"/>
        <color theme="1"/>
        <rFont val="Calibri"/>
        <family val="2"/>
        <scheme val="minor"/>
      </rPr>
      <t>:</t>
    </r>
  </si>
  <si>
    <r>
      <t>MA(2) -1&lt;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&lt;1</t>
    </r>
  </si>
  <si>
    <r>
      <t xml:space="preserve">AR(2) 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-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&lt;1</t>
    </r>
  </si>
  <si>
    <r>
      <t xml:space="preserve">AR(2) 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+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&lt;1</t>
    </r>
  </si>
  <si>
    <r>
      <t>AR(2)-1&lt;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&lt;1</t>
    </r>
  </si>
  <si>
    <r>
      <t>MA(1) -1&lt;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&lt;1</t>
    </r>
  </si>
  <si>
    <r>
      <t>AR(1) -1&lt;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&lt;1</t>
    </r>
  </si>
  <si>
    <r>
      <t xml:space="preserve">Copy to cells F7:G9 the appropriate values of </t>
    </r>
    <r>
      <rPr>
        <sz val="11"/>
        <rFont val="Symbol"/>
        <family val="1"/>
        <charset val="2"/>
      </rPr>
      <t>f</t>
    </r>
    <r>
      <rPr>
        <sz val="8.8000000000000007"/>
        <rFont val="Calibri"/>
        <family val="1"/>
        <charset val="2"/>
      </rPr>
      <t xml:space="preserve"> </t>
    </r>
    <r>
      <rPr>
        <sz val="11"/>
        <rFont val="Calibri"/>
        <family val="2"/>
      </rPr>
      <t>and</t>
    </r>
    <r>
      <rPr>
        <sz val="8.8000000000000007"/>
        <rFont val="Calibri"/>
        <family val="1"/>
        <charset val="2"/>
      </rPr>
      <t xml:space="preserve"> </t>
    </r>
    <r>
      <rPr>
        <sz val="8.8000000000000007"/>
        <rFont val="Calibri"/>
        <family val="2"/>
      </rPr>
      <t xml:space="preserve">θ </t>
    </r>
    <r>
      <rPr>
        <sz val="11"/>
        <rFont val="Calibri"/>
        <family val="2"/>
      </rPr>
      <t>from</t>
    </r>
  </si>
  <si>
    <t>Comment</t>
  </si>
  <si>
    <t>Permissible Region</t>
  </si>
  <si>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1</t>
    </r>
  </si>
  <si>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1</t>
    </r>
  </si>
  <si>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2</t>
    </r>
  </si>
  <si>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2</t>
    </r>
  </si>
  <si>
    <r>
      <t xml:space="preserve">Implied </t>
    </r>
    <r>
      <rPr>
        <sz val="11"/>
        <rFont val="Symbol"/>
        <family val="1"/>
        <charset val="2"/>
      </rPr>
      <t>m</t>
    </r>
  </si>
  <si>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3</t>
    </r>
  </si>
  <si>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3</t>
    </r>
  </si>
  <si>
    <t>95% Confid. 1.96*SE</t>
  </si>
  <si>
    <t>q</t>
  </si>
  <si>
    <t>p</t>
  </si>
  <si>
    <t>d</t>
  </si>
  <si>
    <r>
      <rPr>
        <sz val="11"/>
        <rFont val="Calibri"/>
        <family val="2"/>
        <scheme val="minor"/>
      </rPr>
      <t>Criterion for use of</t>
    </r>
    <r>
      <rPr>
        <sz val="11"/>
        <rFont val="Symbol"/>
        <family val="1"/>
        <charset val="2"/>
      </rPr>
      <t xml:space="preserve"> d</t>
    </r>
  </si>
  <si>
    <t>R-Squared</t>
  </si>
  <si>
    <r>
      <t xml:space="preserve">St. Dev. </t>
    </r>
    <r>
      <rPr>
        <sz val="11"/>
        <rFont val="Calibri"/>
        <family val="2"/>
      </rPr>
      <t>σ</t>
    </r>
  </si>
  <si>
    <r>
      <t xml:space="preserve">Fitted Series  </t>
    </r>
    <r>
      <rPr>
        <sz val="11"/>
        <rFont val="Calibri"/>
        <family val="2"/>
      </rPr>
      <t>ẑ</t>
    </r>
    <r>
      <rPr>
        <sz val="11"/>
        <rFont val="Calibri"/>
        <family val="2"/>
        <scheme val="minor"/>
      </rPr>
      <t xml:space="preserve"> St. Dev. </t>
    </r>
    <r>
      <rPr>
        <sz val="11"/>
        <rFont val="Calibri"/>
        <family val="2"/>
      </rPr>
      <t>σ</t>
    </r>
  </si>
  <si>
    <r>
      <t xml:space="preserve">Mean </t>
    </r>
    <r>
      <rPr>
        <sz val="11"/>
        <rFont val="Calibri"/>
        <family val="2"/>
      </rPr>
      <t>μ</t>
    </r>
  </si>
  <si>
    <r>
      <t xml:space="preserve">Fitted Series </t>
    </r>
    <r>
      <rPr>
        <sz val="11"/>
        <rFont val="Calibri"/>
        <family val="2"/>
      </rPr>
      <t>ẑ</t>
    </r>
    <r>
      <rPr>
        <sz val="11"/>
        <rFont val="Calibri"/>
        <family val="2"/>
        <scheme val="minor"/>
      </rPr>
      <t xml:space="preserve"> Mean </t>
    </r>
    <r>
      <rPr>
        <sz val="11"/>
        <rFont val="Calibri"/>
        <family val="2"/>
      </rPr>
      <t>μ</t>
    </r>
  </si>
  <si>
    <t>Number of observations</t>
  </si>
  <si>
    <r>
      <t>e</t>
    </r>
    <r>
      <rPr>
        <b/>
        <vertAlign val="subscript"/>
        <sz val="11"/>
        <rFont val="Calibri"/>
        <family val="2"/>
        <scheme val="minor"/>
      </rPr>
      <t>t</t>
    </r>
  </si>
  <si>
    <r>
      <t>ẑ</t>
    </r>
    <r>
      <rPr>
        <b/>
        <vertAlign val="subscript"/>
        <sz val="11"/>
        <color theme="1"/>
        <rFont val="Calibri"/>
        <family val="2"/>
      </rPr>
      <t>t</t>
    </r>
  </si>
  <si>
    <t>MA(q)</t>
  </si>
  <si>
    <t>AR(p)</t>
  </si>
  <si>
    <r>
      <t>z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>=y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>-</t>
    </r>
    <r>
      <rPr>
        <b/>
        <sz val="11"/>
        <rFont val="Symbol"/>
        <family val="1"/>
        <charset val="2"/>
      </rPr>
      <t>m</t>
    </r>
  </si>
  <si>
    <t>Period</t>
  </si>
  <si>
    <r>
      <t xml:space="preserve">Fitted Series </t>
    </r>
    <r>
      <rPr>
        <b/>
        <sz val="11"/>
        <color theme="1"/>
        <rFont val="Calibri"/>
        <family val="2"/>
      </rPr>
      <t>ẑ</t>
    </r>
    <r>
      <rPr>
        <b/>
        <vertAlign val="subscript"/>
        <sz val="8.8000000000000007"/>
        <color theme="1"/>
        <rFont val="Calibri"/>
        <family val="2"/>
      </rPr>
      <t>t</t>
    </r>
  </si>
  <si>
    <r>
      <t>Time Series z</t>
    </r>
    <r>
      <rPr>
        <b/>
        <vertAlign val="subscript"/>
        <sz val="11"/>
        <color theme="1"/>
        <rFont val="Calibri"/>
        <family val="2"/>
        <scheme val="minor"/>
      </rPr>
      <t>t</t>
    </r>
  </si>
  <si>
    <t>Durbin-Watson</t>
  </si>
  <si>
    <t>Residual MSE</t>
  </si>
  <si>
    <t>Residual SEE</t>
  </si>
  <si>
    <t>Residual SSE</t>
  </si>
  <si>
    <t>Residual BIC</t>
  </si>
  <si>
    <t>Residual AIC</t>
  </si>
  <si>
    <r>
      <t xml:space="preserve">Is Residual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 xml:space="preserve"> zero</t>
    </r>
  </si>
  <si>
    <r>
      <t>Residual SE</t>
    </r>
    <r>
      <rPr>
        <vertAlign val="subscript"/>
        <sz val="11"/>
        <color theme="1"/>
        <rFont val="Calibri"/>
        <family val="2"/>
        <scheme val="minor"/>
      </rPr>
      <t>e</t>
    </r>
  </si>
  <si>
    <r>
      <t xml:space="preserve">Residual </t>
    </r>
    <r>
      <rPr>
        <sz val="11"/>
        <rFont val="Symbol"/>
        <family val="1"/>
        <charset val="2"/>
      </rPr>
      <t>m</t>
    </r>
  </si>
  <si>
    <t>Residuals</t>
  </si>
  <si>
    <t>(15.23)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</si>
  <si>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(2+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+(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-2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-1)y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>+(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-2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t-2</t>
    </r>
    <r>
      <rPr>
        <sz val="12"/>
        <color theme="1"/>
        <rFont val="Times New Roman"/>
        <family val="1"/>
      </rPr>
      <t>+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 xml:space="preserve">t-3 </t>
    </r>
    <r>
      <rPr>
        <sz val="12"/>
        <color theme="1"/>
        <rFont val="Times New Roman"/>
        <family val="1"/>
      </rPr>
      <t xml:space="preserve">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 xml:space="preserve">t </t>
    </r>
    <r>
      <rPr>
        <sz val="12"/>
        <color theme="1"/>
        <rFont val="Times New Roman"/>
        <family val="1"/>
      </rPr>
      <t xml:space="preserve">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 xml:space="preserve">t-1 </t>
    </r>
    <r>
      <rPr>
        <sz val="12"/>
        <color theme="1"/>
        <rFont val="Times New Roman"/>
        <family val="1"/>
      </rPr>
      <t>+ 2y</t>
    </r>
    <r>
      <rPr>
        <vertAlign val="subscript"/>
        <sz val="12"/>
        <color theme="1"/>
        <rFont val="Times New Roman"/>
        <family val="1"/>
      </rPr>
      <t xml:space="preserve">t </t>
    </r>
    <r>
      <rPr>
        <sz val="12"/>
        <color theme="1"/>
        <rFont val="Times New Roman"/>
        <family val="1"/>
      </rPr>
      <t>- y</t>
    </r>
    <r>
      <rPr>
        <vertAlign val="subscript"/>
        <sz val="12"/>
        <color theme="1"/>
        <rFont val="Times New Roman"/>
        <family val="1"/>
      </rPr>
      <t>t-1</t>
    </r>
  </si>
  <si>
    <t>=(2+$Q$8)*B5+($Q$9-2*$Q$8-1)*B4+($Q$8-2*$Q$9)*B3-$R$11*D5-$R$12*D4+2*B5-B4</t>
  </si>
  <si>
    <t>(2,2,2)</t>
  </si>
  <si>
    <t>(15.22)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</si>
  <si>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(2+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+ (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-2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-1)y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+ (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-2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t-2</t>
    </r>
    <r>
      <rPr>
        <sz val="12"/>
        <color theme="1"/>
        <rFont val="Times New Roman"/>
        <family val="1"/>
      </rPr>
      <t xml:space="preserve"> +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 xml:space="preserve">t-3 </t>
    </r>
    <r>
      <rPr>
        <sz val="12"/>
        <color theme="1"/>
        <rFont val="Times New Roman"/>
        <family val="1"/>
      </rPr>
      <t xml:space="preserve">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+ 2y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y</t>
    </r>
    <r>
      <rPr>
        <vertAlign val="subscript"/>
        <sz val="12"/>
        <color theme="1"/>
        <rFont val="Times New Roman"/>
        <family val="1"/>
      </rPr>
      <t>t-1</t>
    </r>
  </si>
  <si>
    <t>=(2+$Q$3)*B5+($Q$4-2*$Q$3-1)*B4+($Q$3-2*$Q$4)*B3+$Q$4*B2-$R$6*D5+2*B5-B4</t>
  </si>
  <si>
    <t>(2,2,1)</t>
  </si>
  <si>
    <t>(15.21)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</si>
  <si>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(2+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(1+2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+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 xml:space="preserve">t-2 </t>
    </r>
    <r>
      <rPr>
        <sz val="12"/>
        <color theme="1"/>
        <rFont val="Times New Roman"/>
        <family val="1"/>
      </rPr>
      <t xml:space="preserve">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</t>
    </r>
  </si>
  <si>
    <t>=(2+$N$3)*B4-(1+2*$N$3)*B3+$N$3*B2-$O$6*D4</t>
  </si>
  <si>
    <t>(1,2,1)</t>
  </si>
  <si>
    <t>(15.20)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</si>
  <si>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-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+ 2y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y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 </t>
    </r>
  </si>
  <si>
    <t>=-$O$12*D3-$O$11*D2+2*B3-B2</t>
  </si>
  <si>
    <t>(0,2,2)</t>
  </si>
  <si>
    <t>(15.19)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</si>
  <si>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-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+ 2y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y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</t>
    </r>
  </si>
  <si>
    <t>=-$O$6*D3+2*B3-B2</t>
  </si>
  <si>
    <t>(0,2,1)</t>
  </si>
  <si>
    <t>(15.18)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</si>
  <si>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(2+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+ (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-2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-1)y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+ (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-2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t-2</t>
    </r>
    <r>
      <rPr>
        <sz val="12"/>
        <color theme="1"/>
        <rFont val="Times New Roman"/>
        <family val="1"/>
      </rPr>
      <t xml:space="preserve"> +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>t-3</t>
    </r>
  </si>
  <si>
    <t>=(2+$Q$3)*B5+($Q$4-2*$Q$3-1)*B4+($Q$3-2*$Q$4)*B3+$Q$4*B2</t>
  </si>
  <si>
    <t>(2,2,0)</t>
  </si>
  <si>
    <t>(15.17)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</si>
  <si>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(2+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(1+2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+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>t-2</t>
    </r>
  </si>
  <si>
    <t>=(2+$N$3)*B4-(1+2*$N$3)*B3+$N$3*B2</t>
  </si>
  <si>
    <t>(1,2,0)</t>
  </si>
  <si>
    <t>(15.16)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</si>
  <si>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(1+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+ (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 xml:space="preserve">t-2 </t>
    </r>
    <r>
      <rPr>
        <sz val="12"/>
        <color theme="1"/>
        <rFont val="Times New Roman"/>
        <family val="1"/>
      </rPr>
      <t xml:space="preserve">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+ y</t>
    </r>
    <r>
      <rPr>
        <vertAlign val="subscript"/>
        <sz val="12"/>
        <color theme="1"/>
        <rFont val="Times New Roman"/>
        <family val="1"/>
      </rPr>
      <t>t</t>
    </r>
  </si>
  <si>
    <t>=(1+$Q$8)*B4+($Q$9-$Q$8)*B3-$Q$9*B2-$R$11*D4-$R$12*D3+B4</t>
  </si>
  <si>
    <t>(2,1,2)</t>
  </si>
  <si>
    <t>(15.15)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</si>
  <si>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(1+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 xml:space="preserve">t-1 </t>
    </r>
    <r>
      <rPr>
        <sz val="12"/>
        <color theme="1"/>
        <rFont val="Times New Roman"/>
        <family val="1"/>
      </rPr>
      <t xml:space="preserve">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+ y</t>
    </r>
    <r>
      <rPr>
        <vertAlign val="subscript"/>
        <sz val="12"/>
        <color theme="1"/>
        <rFont val="Times New Roman"/>
        <family val="1"/>
      </rPr>
      <t>t</t>
    </r>
  </si>
  <si>
    <t>=(1+$N$8)*B3-$N$8*B2-$O$11*D3-$O$12*D2+B3</t>
  </si>
  <si>
    <t>(1,1,2)</t>
  </si>
  <si>
    <t>(15.14)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</si>
  <si>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(1+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+ (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 xml:space="preserve">t-2 </t>
    </r>
    <r>
      <rPr>
        <sz val="12"/>
        <color theme="1"/>
        <rFont val="Times New Roman"/>
        <family val="1"/>
      </rPr>
      <t xml:space="preserve">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+ y</t>
    </r>
    <r>
      <rPr>
        <vertAlign val="subscript"/>
        <sz val="12"/>
        <color theme="1"/>
        <rFont val="Times New Roman"/>
        <family val="1"/>
      </rPr>
      <t>t</t>
    </r>
  </si>
  <si>
    <t>=(1+$Q$3)*B4+($Q$4-$Q$3)*B3-$Q$4*B2-$R$6*D4+B4</t>
  </si>
  <si>
    <t xml:space="preserve">(2,1,1) </t>
  </si>
  <si>
    <t>(15.13)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</si>
  <si>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(1+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</t>
    </r>
  </si>
  <si>
    <t>=(1+$N$3)*B3-$N$3*B2-$O$6*D3</t>
  </si>
  <si>
    <t>(1,1,1)</t>
  </si>
  <si>
    <t>(15.12)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</si>
  <si>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-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+ y</t>
    </r>
    <r>
      <rPr>
        <vertAlign val="subscript"/>
        <sz val="12"/>
        <color theme="1"/>
        <rFont val="Times New Roman"/>
        <family val="1"/>
      </rPr>
      <t>t</t>
    </r>
  </si>
  <si>
    <t>=-$O$11*D3-$O$12*D2+B3</t>
  </si>
  <si>
    <t>(0,1,2)</t>
  </si>
  <si>
    <t>(15.11)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</si>
  <si>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-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+ 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</t>
    </r>
  </si>
  <si>
    <t>=-$O$6*D2+B2</t>
  </si>
  <si>
    <t>(0,1,1)</t>
  </si>
  <si>
    <t>(15.10)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</si>
  <si>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(1+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+ (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>t-2</t>
    </r>
  </si>
  <si>
    <t>=(1+$Q$3)*B4+($Q$4-$Q$3)*B3-$Q$4*B2</t>
  </si>
  <si>
    <t>(2,1,0)</t>
  </si>
  <si>
    <t>(15.9)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</si>
  <si>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(1+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>t-1</t>
    </r>
  </si>
  <si>
    <t>=(1+$N$3)*B3-$N$3*B2</t>
  </si>
  <si>
    <t>(1,1,0)</t>
  </si>
  <si>
    <t>(15.8)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</si>
  <si>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(1) =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+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 xml:space="preserve">t-1 </t>
    </r>
    <r>
      <rPr>
        <sz val="12"/>
        <color theme="1"/>
        <rFont val="Times New Roman"/>
        <family val="1"/>
      </rPr>
      <t xml:space="preserve">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+ ȳ(1-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-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</si>
  <si>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=$Q$2*B3+$Q$3*B2-$R$6*D3+AVERAGE($B$2:$B$51)*(1-$Q$3-$Q$4)</t>
  </si>
  <si>
    <t>(2,0,1)</t>
  </si>
  <si>
    <t>(15.7)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</si>
  <si>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(1) =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+ ȳ(1-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</t>
    </r>
  </si>
  <si>
    <t>=$N$8*B3-$O$11*D3-$O$13*D2+AVERAGE($B2:$B51)*(1-$N$8)</t>
  </si>
  <si>
    <t>(1,0,2)</t>
  </si>
  <si>
    <t>(15.6)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</si>
  <si>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(1) =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+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 xml:space="preserve">t-1 </t>
    </r>
    <r>
      <rPr>
        <sz val="12"/>
        <color theme="1"/>
        <rFont val="Times New Roman"/>
        <family val="1"/>
      </rPr>
      <t xml:space="preserve">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>+ ȳ(1-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-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</si>
  <si>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=$Q$8*B3-$Q$9*B2-$R$11*D3-$R$12*D2+AVERAGE($B$2:$B$50)*(1-$Q$8-$Q$9)</t>
  </si>
  <si>
    <t>(2,0,2)</t>
  </si>
  <si>
    <t>(15.5)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</si>
  <si>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(1) =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+ ȳ(1-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</t>
    </r>
  </si>
  <si>
    <t>=$N$3*B2-$O$6*D2+AVERAGE($B$2:$B$50)*(1-$N$3)</t>
  </si>
  <si>
    <t>(1,0,1)</t>
  </si>
  <si>
    <t>(15.4)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</si>
  <si>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-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+ ȳ</t>
    </r>
  </si>
  <si>
    <t>=-$O$11*D3-$O$12*D2+AVERAGE($B$2:$B$50)</t>
  </si>
  <si>
    <t>(0,0,2)</t>
  </si>
  <si>
    <t>(15.3)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</si>
  <si>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(1) = -</t>
    </r>
    <r>
      <rPr>
        <sz val="12"/>
        <color theme="1"/>
        <rFont val="Symbol"/>
        <family val="1"/>
        <charset val="2"/>
      </rPr>
      <t>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a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+ ȳ  </t>
    </r>
  </si>
  <si>
    <t>=-$O$6*D2+AVERAGE($B$2:$B$50)</t>
  </si>
  <si>
    <t>(0,0,1)</t>
  </si>
  <si>
    <t>(15.2)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</si>
  <si>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(1) =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+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>t-1</t>
    </r>
    <r>
      <rPr>
        <sz val="12"/>
        <color theme="1"/>
        <rFont val="Times New Roman"/>
        <family val="1"/>
      </rPr>
      <t xml:space="preserve"> + ȳ(1-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-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</si>
  <si>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=$Q$3*B3+$Q$4*B2+AVERAGE($B$2:$B$50)*(1-$Q$3-$Q$4)</t>
  </si>
  <si>
    <t>(2,0,0)</t>
  </si>
  <si>
    <t>(15.1)</t>
  </si>
  <si>
    <r>
      <t>ŷ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(1) =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+ ȳ(1-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</t>
    </r>
  </si>
  <si>
    <t>=$N$3*B2+AVERAGE($B$2:$B$50)*(1-$N$3)</t>
  </si>
  <si>
    <t>(1,0,0)</t>
  </si>
  <si>
    <r>
      <t>Fitting formula</t>
    </r>
    <r>
      <rPr>
        <sz val="12"/>
        <color theme="1"/>
        <rFont val="Times New Roman"/>
        <family val="1"/>
      </rPr>
      <t xml:space="preserve"> (i.e. forecasting for </t>
    </r>
    <r>
      <rPr>
        <i/>
        <sz val="12"/>
        <color theme="1"/>
        <rFont val="Times New Roman"/>
        <family val="1"/>
      </rPr>
      <t>l</t>
    </r>
    <r>
      <rPr>
        <sz val="12"/>
        <color theme="1"/>
        <rFont val="Times New Roman"/>
        <family val="1"/>
      </rPr>
      <t>=1)</t>
    </r>
  </si>
  <si>
    <t>3. And finally, remove the apostrophe sign before the equation ('=…), then Copy/Paste down to the last observation</t>
  </si>
  <si>
    <r>
      <t xml:space="preserve">2. Once you pasted it, change the reference to the correct </t>
    </r>
    <r>
      <rPr>
        <sz val="11"/>
        <color theme="1"/>
        <rFont val="Symbol"/>
        <family val="1"/>
        <charset val="2"/>
      </rPr>
      <t xml:space="preserve">f </t>
    </r>
    <r>
      <rPr>
        <sz val="11"/>
        <color theme="1"/>
        <rFont val="Calibri"/>
        <family val="2"/>
        <scheme val="minor"/>
      </rPr>
      <t>and</t>
    </r>
    <r>
      <rPr>
        <sz val="11"/>
        <color theme="1"/>
        <rFont val="Symbol"/>
        <family val="1"/>
        <charset val="2"/>
      </rPr>
      <t xml:space="preserve"> </t>
    </r>
    <r>
      <rPr>
        <sz val="11"/>
        <color theme="1"/>
        <rFont val="Calibri"/>
        <family val="2"/>
      </rPr>
      <t>θ from the table N3:U19</t>
    </r>
  </si>
  <si>
    <t>to cell B3 (for ARMA(1,1)), cell B4 (for ARMA(2,2)) or cell B5 (for ARMA(3,3)); or depending on the level of differencing</t>
  </si>
  <si>
    <t>1. Copy the appropriate fitting formula (i.e. forecasting for l=1) from cells N28:N48 and paste it</t>
  </si>
  <si>
    <r>
      <t>NOTE:</t>
    </r>
    <r>
      <rPr>
        <sz val="12"/>
        <color theme="1"/>
        <rFont val="Times New Roman"/>
        <family val="1"/>
      </rPr>
      <t xml:space="preserve"> </t>
    </r>
  </si>
  <si>
    <r>
      <t>θ</t>
    </r>
    <r>
      <rPr>
        <vertAlign val="subscript"/>
        <sz val="11"/>
        <color theme="1"/>
        <rFont val="Calibri"/>
        <family val="2"/>
        <scheme val="minor"/>
      </rPr>
      <t>3</t>
    </r>
  </si>
  <si>
    <r>
      <t>θ</t>
    </r>
    <r>
      <rPr>
        <vertAlign val="subscript"/>
        <sz val="11"/>
        <color theme="1"/>
        <rFont val="Calibri"/>
        <family val="2"/>
        <scheme val="minor"/>
      </rPr>
      <t>2</t>
    </r>
  </si>
  <si>
    <r>
      <t>θ</t>
    </r>
    <r>
      <rPr>
        <vertAlign val="subscript"/>
        <sz val="11"/>
        <color theme="1"/>
        <rFont val="Calibri"/>
        <family val="2"/>
        <scheme val="minor"/>
      </rPr>
      <t>1</t>
    </r>
  </si>
  <si>
    <t>AR(3,3)</t>
  </si>
  <si>
    <t>AR(2,3)</t>
  </si>
  <si>
    <t>AR(1,3)</t>
  </si>
  <si>
    <t>AR(3,2)</t>
  </si>
  <si>
    <t>AR(2,2)</t>
  </si>
  <si>
    <t>AR(1,2)</t>
  </si>
  <si>
    <t>AR(3,1)</t>
  </si>
  <si>
    <t>AR(2,1)</t>
  </si>
  <si>
    <t>AR(1,1)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</si>
  <si>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For forecasting select 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 xml:space="preserve"> and θ</t>
    </r>
    <r>
      <rPr>
        <sz val="11"/>
        <color theme="1"/>
        <rFont val="Calibri"/>
        <family val="2"/>
        <scheme val="minor"/>
      </rPr>
      <t xml:space="preserve"> from the table N3:U19 that is matching your ARMA(p,q) model</t>
    </r>
  </si>
  <si>
    <t>at</t>
  </si>
  <si>
    <r>
      <t>ŷ</t>
    </r>
    <r>
      <rPr>
        <b/>
        <vertAlign val="subscript"/>
        <sz val="11"/>
        <color theme="1"/>
        <rFont val="Calibri"/>
        <family val="2"/>
      </rPr>
      <t>t</t>
    </r>
  </si>
  <si>
    <t>the cells in columns E and F in Sheet "2. Estim'!".</t>
  </si>
  <si>
    <r>
      <rPr>
        <b/>
        <sz val="11"/>
        <rFont val="Calibri"/>
        <family val="2"/>
        <scheme val="minor"/>
      </rPr>
      <t>Important:</t>
    </r>
    <r>
      <rPr>
        <sz val="11"/>
        <rFont val="Calibri"/>
        <family val="1"/>
        <charset val="2"/>
        <scheme val="minor"/>
      </rPr>
      <t xml:space="preserve"> Put in cells F1:G1 the number of p and q parameters from from </t>
    </r>
  </si>
  <si>
    <t>your selected model. Otherwise, the fitting will not work.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</si>
  <si>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</si>
  <si>
    <r>
      <t>d</t>
    </r>
    <r>
      <rPr>
        <vertAlign val="subscript"/>
        <sz val="11"/>
        <color theme="1"/>
        <rFont val="Calibri"/>
        <family val="2"/>
        <scheme val="minor"/>
      </rPr>
      <t>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</si>
</sst>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00"/>
  </numFmts>
  <fonts count="3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vertAlign val="subscript"/>
      <sz val="11"/>
      <name val="Calibri"/>
      <family val="2"/>
      <scheme val="minor"/>
    </font>
    <font>
      <b/>
      <sz val="11"/>
      <name val="Symbol"/>
      <family val="1"/>
      <charset val="2"/>
    </font>
    <font>
      <i/>
      <sz val="11"/>
      <color theme="1"/>
      <name val="Calibri"/>
      <family val="2"/>
      <scheme val="minor"/>
    </font>
    <font>
      <sz val="11"/>
      <name val="Calibri"/>
      <family val="1"/>
      <charset val="2"/>
      <scheme val="minor"/>
    </font>
    <font>
      <sz val="11"/>
      <name val="Symbol"/>
      <family val="1"/>
      <charset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Symbol"/>
      <family val="1"/>
      <charset val="2"/>
    </font>
    <font>
      <sz val="11"/>
      <name val="Arial"/>
      <family val="2"/>
    </font>
    <font>
      <sz val="8.8000000000000007"/>
      <name val="Calibri"/>
      <family val="1"/>
      <charset val="2"/>
    </font>
    <font>
      <sz val="11"/>
      <name val="Calibri"/>
      <family val="2"/>
    </font>
    <font>
      <sz val="8.8000000000000007"/>
      <name val="Calibri"/>
      <family val="2"/>
    </font>
    <font>
      <sz val="10"/>
      <color theme="0"/>
      <name val="Arial"/>
      <family val="2"/>
    </font>
    <font>
      <sz val="11"/>
      <name val="Symbol"/>
      <family val="2"/>
      <charset val="2"/>
    </font>
    <font>
      <b/>
      <vertAlign val="subscript"/>
      <sz val="11"/>
      <color theme="1"/>
      <name val="Calibri"/>
      <family val="2"/>
    </font>
    <font>
      <b/>
      <vertAlign val="subscript"/>
      <sz val="8.8000000000000007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vertAlign val="subscript"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4" fillId="2" borderId="1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164" fontId="0" fillId="2" borderId="0" xfId="0" applyNumberFormat="1" applyFill="1"/>
    <xf numFmtId="0" fontId="0" fillId="0" borderId="0" xfId="0" quotePrefix="1"/>
    <xf numFmtId="0" fontId="2" fillId="0" borderId="0" xfId="0" applyFont="1"/>
    <xf numFmtId="0" fontId="0" fillId="7" borderId="0" xfId="0" applyFill="1"/>
    <xf numFmtId="0" fontId="0" fillId="7" borderId="0" xfId="0" quotePrefix="1" applyFill="1"/>
    <xf numFmtId="0" fontId="2" fillId="8" borderId="0" xfId="0" applyFont="1" applyFill="1"/>
    <xf numFmtId="0" fontId="8" fillId="8" borderId="0" xfId="0" applyFont="1" applyFill="1"/>
    <xf numFmtId="0" fontId="9" fillId="8" borderId="0" xfId="0" applyFont="1" applyFill="1"/>
    <xf numFmtId="0" fontId="0" fillId="8" borderId="0" xfId="0" applyFill="1"/>
    <xf numFmtId="0" fontId="0" fillId="8" borderId="0" xfId="0" quotePrefix="1" applyFill="1"/>
    <xf numFmtId="0" fontId="0" fillId="2" borderId="0" xfId="0" applyFill="1"/>
    <xf numFmtId="0" fontId="0" fillId="2" borderId="0" xfId="0" quotePrefix="1" applyFill="1"/>
    <xf numFmtId="0" fontId="0" fillId="12" borderId="0" xfId="0" quotePrefix="1" applyFill="1"/>
    <xf numFmtId="0" fontId="0" fillId="12" borderId="0" xfId="0" applyFill="1"/>
    <xf numFmtId="0" fontId="0" fillId="14" borderId="0" xfId="0" applyFill="1"/>
    <xf numFmtId="0" fontId="0" fillId="14" borderId="0" xfId="0" quotePrefix="1" applyFill="1"/>
    <xf numFmtId="2" fontId="0" fillId="8" borderId="0" xfId="0" applyNumberFormat="1" applyFill="1"/>
    <xf numFmtId="2" fontId="0" fillId="0" borderId="0" xfId="0" applyNumberFormat="1"/>
    <xf numFmtId="2" fontId="0" fillId="7" borderId="0" xfId="0" applyNumberFormat="1" applyFill="1"/>
    <xf numFmtId="2" fontId="0" fillId="2" borderId="0" xfId="0" applyNumberFormat="1" applyFill="1"/>
    <xf numFmtId="2" fontId="0" fillId="12" borderId="0" xfId="0" quotePrefix="1" applyNumberFormat="1" applyFill="1"/>
    <xf numFmtId="2" fontId="0" fillId="12" borderId="0" xfId="0" applyNumberFormat="1" applyFill="1"/>
    <xf numFmtId="2" fontId="0" fillId="14" borderId="0" xfId="0" applyNumberFormat="1" applyFill="1"/>
    <xf numFmtId="2" fontId="0" fillId="7" borderId="0" xfId="0" quotePrefix="1" applyNumberFormat="1" applyFill="1"/>
    <xf numFmtId="2" fontId="0" fillId="0" borderId="0" xfId="0" quotePrefix="1" applyNumberFormat="1" applyFill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quotePrefix="1" applyFill="1" applyAlignment="1">
      <alignment horizontal="right"/>
    </xf>
    <xf numFmtId="2" fontId="11" fillId="0" borderId="0" xfId="0" applyNumberFormat="1" applyFont="1" applyAlignment="1">
      <alignment horizontal="center"/>
    </xf>
    <xf numFmtId="2" fontId="11" fillId="0" borderId="0" xfId="0" quotePrefix="1" applyNumberFormat="1" applyFont="1"/>
    <xf numFmtId="1" fontId="11" fillId="0" borderId="0" xfId="0" applyNumberFormat="1" applyFont="1" applyFill="1" applyAlignment="1">
      <alignment horizontal="right" vertical="top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164" fontId="11" fillId="0" borderId="0" xfId="0" applyNumberFormat="1" applyFont="1"/>
    <xf numFmtId="164" fontId="4" fillId="0" borderId="0" xfId="0" applyNumberFormat="1" applyFont="1"/>
    <xf numFmtId="164" fontId="11" fillId="0" borderId="0" xfId="0" quotePrefix="1" applyNumberFormat="1" applyFont="1"/>
    <xf numFmtId="164" fontId="11" fillId="0" borderId="0" xfId="0" applyNumberFormat="1" applyFont="1" applyBorder="1"/>
    <xf numFmtId="164" fontId="12" fillId="0" borderId="0" xfId="0" quotePrefix="1" applyNumberFormat="1" applyFont="1" applyFill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Border="1" applyAlignment="1">
      <alignment horizontal="center"/>
    </xf>
    <xf numFmtId="164" fontId="4" fillId="0" borderId="0" xfId="0" applyNumberFormat="1" applyFont="1" applyBorder="1"/>
    <xf numFmtId="0" fontId="11" fillId="0" borderId="2" xfId="0" applyFont="1" applyBorder="1" applyAlignment="1">
      <alignment horizontal="center"/>
    </xf>
    <xf numFmtId="164" fontId="11" fillId="3" borderId="0" xfId="0" applyNumberFormat="1" applyFont="1" applyFill="1"/>
    <xf numFmtId="164" fontId="0" fillId="3" borderId="0" xfId="0" applyNumberFormat="1" applyFill="1"/>
    <xf numFmtId="164" fontId="11" fillId="3" borderId="0" xfId="0" quotePrefix="1" applyNumberFormat="1" applyFont="1" applyFill="1" applyAlignment="1">
      <alignment horizontal="center"/>
    </xf>
    <xf numFmtId="164" fontId="11" fillId="2" borderId="0" xfId="0" applyNumberFormat="1" applyFont="1" applyFill="1"/>
    <xf numFmtId="164" fontId="11" fillId="2" borderId="0" xfId="0" quotePrefix="1" applyNumberFormat="1" applyFont="1" applyFill="1" applyAlignment="1">
      <alignment horizontal="center"/>
    </xf>
    <xf numFmtId="164" fontId="11" fillId="0" borderId="0" xfId="0" applyNumberFormat="1" applyFont="1" applyFill="1"/>
    <xf numFmtId="164" fontId="4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3" borderId="0" xfId="0" quotePrefix="1" applyFont="1" applyFill="1" applyBorder="1" applyAlignment="1">
      <alignment horizontal="center"/>
    </xf>
    <xf numFmtId="0" fontId="4" fillId="3" borderId="0" xfId="0" applyNumberFormat="1" applyFont="1" applyFill="1" applyBorder="1" applyAlignment="1">
      <alignment horizontal="center"/>
    </xf>
    <xf numFmtId="1" fontId="11" fillId="0" borderId="0" xfId="0" applyNumberFormat="1" applyFont="1" applyFill="1"/>
    <xf numFmtId="1" fontId="11" fillId="15" borderId="0" xfId="0" applyNumberFormat="1" applyFont="1" applyFill="1"/>
    <xf numFmtId="0" fontId="4" fillId="0" borderId="0" xfId="0" quotePrefix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2" borderId="0" xfId="0" quotePrefix="1" applyFont="1" applyFill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3" borderId="2" xfId="0" quotePrefix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right" wrapText="1"/>
    </xf>
    <xf numFmtId="0" fontId="4" fillId="0" borderId="2" xfId="0" quotePrefix="1" applyFont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15" fillId="0" borderId="0" xfId="0" applyNumberFormat="1" applyFont="1"/>
    <xf numFmtId="0" fontId="16" fillId="0" borderId="0" xfId="0" applyFont="1" applyFill="1" applyAlignment="1">
      <alignment horizontal="center"/>
    </xf>
    <xf numFmtId="2" fontId="0" fillId="0" borderId="0" xfId="0" quotePrefix="1" applyNumberFormat="1"/>
    <xf numFmtId="2" fontId="11" fillId="0" borderId="0" xfId="0" applyNumberFormat="1" applyFont="1"/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0" fillId="10" borderId="3" xfId="0" applyFill="1" applyBorder="1" applyAlignment="1">
      <alignment vertical="top"/>
    </xf>
    <xf numFmtId="2" fontId="0" fillId="10" borderId="2" xfId="0" applyNumberFormat="1" applyFill="1" applyBorder="1" applyAlignment="1">
      <alignment vertical="top"/>
    </xf>
    <xf numFmtId="0" fontId="11" fillId="10" borderId="4" xfId="0" applyFont="1" applyFill="1" applyBorder="1" applyAlignment="1">
      <alignment horizontal="center" vertical="top"/>
    </xf>
    <xf numFmtId="0" fontId="0" fillId="0" borderId="0" xfId="0" quotePrefix="1" applyFill="1" applyBorder="1" applyAlignment="1">
      <alignment vertical="top"/>
    </xf>
    <xf numFmtId="164" fontId="0" fillId="10" borderId="5" xfId="0" applyNumberFormat="1" applyFill="1" applyBorder="1" applyAlignment="1">
      <alignment vertical="top"/>
    </xf>
    <xf numFmtId="2" fontId="0" fillId="10" borderId="0" xfId="0" applyNumberFormat="1" applyFill="1" applyBorder="1" applyAlignment="1">
      <alignment vertical="top"/>
    </xf>
    <xf numFmtId="0" fontId="11" fillId="10" borderId="6" xfId="0" quotePrefix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0" fontId="11" fillId="10" borderId="6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11" fillId="10" borderId="5" xfId="0" applyFont="1" applyFill="1" applyBorder="1" applyAlignment="1">
      <alignment vertical="top"/>
    </xf>
    <xf numFmtId="2" fontId="11" fillId="0" borderId="0" xfId="0" quotePrefix="1" applyNumberFormat="1" applyFont="1" applyFill="1" applyBorder="1" applyAlignment="1">
      <alignment horizontal="right" vertical="top"/>
    </xf>
    <xf numFmtId="164" fontId="3" fillId="0" borderId="0" xfId="0" applyNumberFormat="1" applyFont="1" applyFill="1" applyBorder="1" applyAlignment="1">
      <alignment vertical="top"/>
    </xf>
    <xf numFmtId="0" fontId="0" fillId="10" borderId="5" xfId="0" applyFill="1" applyBorder="1" applyAlignment="1">
      <alignment vertical="top"/>
    </xf>
    <xf numFmtId="0" fontId="0" fillId="0" borderId="0" xfId="0" applyFill="1" applyAlignment="1">
      <alignment vertical="top"/>
    </xf>
    <xf numFmtId="0" fontId="0" fillId="16" borderId="0" xfId="0" applyFill="1" applyBorder="1" applyAlignment="1">
      <alignment vertical="top"/>
    </xf>
    <xf numFmtId="0" fontId="0" fillId="16" borderId="0" xfId="0" applyFill="1"/>
    <xf numFmtId="2" fontId="0" fillId="16" borderId="0" xfId="0" applyNumberFormat="1" applyFill="1" applyBorder="1" applyAlignment="1">
      <alignment vertical="top"/>
    </xf>
    <xf numFmtId="2" fontId="11" fillId="16" borderId="0" xfId="0" quotePrefix="1" applyNumberFormat="1" applyFont="1" applyFill="1" applyBorder="1" applyAlignment="1">
      <alignment horizontal="right" vertical="top"/>
    </xf>
    <xf numFmtId="0" fontId="2" fillId="16" borderId="0" xfId="0" applyFont="1" applyFill="1"/>
    <xf numFmtId="0" fontId="18" fillId="16" borderId="0" xfId="0" applyFont="1" applyFill="1" applyBorder="1" applyAlignment="1">
      <alignment vertical="top"/>
    </xf>
    <xf numFmtId="165" fontId="0" fillId="16" borderId="0" xfId="0" applyNumberFormat="1" applyFont="1" applyFill="1" applyBorder="1" applyAlignment="1">
      <alignment vertical="top"/>
    </xf>
    <xf numFmtId="0" fontId="19" fillId="16" borderId="0" xfId="0" applyFont="1" applyFill="1"/>
    <xf numFmtId="0" fontId="11" fillId="16" borderId="0" xfId="0" applyFont="1" applyFill="1" applyBorder="1" applyAlignment="1">
      <alignment vertical="top"/>
    </xf>
    <xf numFmtId="2" fontId="0" fillId="0" borderId="0" xfId="0" applyNumberFormat="1" applyFont="1" applyFill="1" applyBorder="1" applyAlignment="1">
      <alignment vertical="top"/>
    </xf>
    <xf numFmtId="2" fontId="21" fillId="0" borderId="0" xfId="0" applyNumberFormat="1" applyFont="1" applyFill="1" applyBorder="1" applyAlignment="1">
      <alignment vertical="top"/>
    </xf>
    <xf numFmtId="0" fontId="16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left" vertical="top"/>
    </xf>
    <xf numFmtId="164" fontId="11" fillId="10" borderId="5" xfId="0" applyNumberFormat="1" applyFont="1" applyFill="1" applyBorder="1" applyAlignment="1">
      <alignment vertical="top"/>
    </xf>
    <xf numFmtId="2" fontId="11" fillId="10" borderId="0" xfId="0" applyNumberFormat="1" applyFont="1" applyFill="1" applyBorder="1" applyAlignment="1">
      <alignment vertical="top"/>
    </xf>
    <xf numFmtId="0" fontId="11" fillId="0" borderId="0" xfId="0" quotePrefix="1" applyFont="1" applyFill="1" applyBorder="1" applyAlignment="1">
      <alignment horizontal="right" vertical="top"/>
    </xf>
    <xf numFmtId="164" fontId="18" fillId="17" borderId="7" xfId="0" quotePrefix="1" applyNumberFormat="1" applyFont="1" applyFill="1" applyBorder="1" applyAlignment="1">
      <alignment horizontal="left" vertical="top"/>
    </xf>
    <xf numFmtId="164" fontId="18" fillId="17" borderId="1" xfId="0" quotePrefix="1" applyNumberFormat="1" applyFont="1" applyFill="1" applyBorder="1" applyAlignment="1">
      <alignment horizontal="left" vertical="top"/>
    </xf>
    <xf numFmtId="0" fontId="4" fillId="17" borderId="8" xfId="0" applyFont="1" applyFill="1" applyBorder="1" applyAlignment="1">
      <alignment horizontal="left" vertical="top"/>
    </xf>
    <xf numFmtId="0" fontId="16" fillId="10" borderId="3" xfId="0" applyFont="1" applyFill="1" applyBorder="1" applyAlignment="1">
      <alignment horizontal="center" vertical="top"/>
    </xf>
    <xf numFmtId="2" fontId="11" fillId="10" borderId="2" xfId="0" applyNumberFormat="1" applyFont="1" applyFill="1" applyBorder="1" applyAlignment="1">
      <alignment vertical="top"/>
    </xf>
    <xf numFmtId="0" fontId="16" fillId="10" borderId="4" xfId="0" applyFont="1" applyFill="1" applyBorder="1" applyAlignment="1">
      <alignment horizontal="center" vertical="top"/>
    </xf>
    <xf numFmtId="164" fontId="12" fillId="0" borderId="5" xfId="0" quotePrefix="1" applyNumberFormat="1" applyFont="1" applyFill="1" applyBorder="1" applyAlignment="1">
      <alignment vertical="top"/>
    </xf>
    <xf numFmtId="164" fontId="12" fillId="0" borderId="0" xfId="0" quotePrefix="1" applyNumberFormat="1" applyFont="1" applyFill="1" applyBorder="1" applyAlignment="1">
      <alignment vertical="top"/>
    </xf>
    <xf numFmtId="0" fontId="11" fillId="0" borderId="6" xfId="0" applyFont="1" applyFill="1" applyBorder="1" applyAlignment="1">
      <alignment horizontal="right" vertical="top"/>
    </xf>
    <xf numFmtId="0" fontId="16" fillId="10" borderId="5" xfId="0" applyFont="1" applyFill="1" applyBorder="1" applyAlignment="1">
      <alignment horizontal="center" vertical="top"/>
    </xf>
    <xf numFmtId="2" fontId="0" fillId="10" borderId="0" xfId="0" applyNumberFormat="1" applyFont="1" applyFill="1" applyBorder="1" applyAlignment="1">
      <alignment vertical="top"/>
    </xf>
    <xf numFmtId="0" fontId="16" fillId="10" borderId="6" xfId="0" applyFont="1" applyFill="1" applyBorder="1" applyAlignment="1">
      <alignment horizontal="center" vertical="top"/>
    </xf>
    <xf numFmtId="164" fontId="11" fillId="4" borderId="3" xfId="0" applyNumberFormat="1" applyFont="1" applyFill="1" applyBorder="1" applyAlignment="1">
      <alignment vertical="top"/>
    </xf>
    <xf numFmtId="2" fontId="11" fillId="4" borderId="2" xfId="0" applyNumberFormat="1" applyFont="1" applyFill="1" applyBorder="1" applyAlignment="1">
      <alignment vertical="top"/>
    </xf>
    <xf numFmtId="0" fontId="11" fillId="4" borderId="4" xfId="0" applyFont="1" applyFill="1" applyBorder="1" applyAlignment="1">
      <alignment horizontal="right" vertical="top"/>
    </xf>
    <xf numFmtId="0" fontId="11" fillId="4" borderId="6" xfId="0" applyFont="1" applyFill="1" applyBorder="1" applyAlignment="1">
      <alignment horizontal="right" vertical="top"/>
    </xf>
    <xf numFmtId="0" fontId="4" fillId="17" borderId="7" xfId="0" applyFont="1" applyFill="1" applyBorder="1" applyAlignment="1">
      <alignment horizontal="center" vertical="top"/>
    </xf>
    <xf numFmtId="0" fontId="4" fillId="17" borderId="1" xfId="0" applyFont="1" applyFill="1" applyBorder="1" applyAlignment="1">
      <alignment horizontal="center" vertical="top"/>
    </xf>
    <xf numFmtId="0" fontId="4" fillId="17" borderId="8" xfId="0" applyFont="1" applyFill="1" applyBorder="1" applyAlignment="1">
      <alignment horizontal="center" vertical="top"/>
    </xf>
    <xf numFmtId="164" fontId="25" fillId="0" borderId="0" xfId="0" quotePrefix="1" applyNumberFormat="1" applyFont="1" applyFill="1" applyBorder="1" applyAlignment="1">
      <alignment vertical="top"/>
    </xf>
    <xf numFmtId="0" fontId="12" fillId="4" borderId="5" xfId="0" quotePrefix="1" applyFont="1" applyFill="1" applyBorder="1" applyAlignment="1">
      <alignment vertical="top"/>
    </xf>
    <xf numFmtId="2" fontId="11" fillId="4" borderId="0" xfId="0" applyNumberFormat="1" applyFont="1" applyFill="1" applyBorder="1" applyAlignment="1">
      <alignment vertical="top"/>
    </xf>
    <xf numFmtId="0" fontId="17" fillId="4" borderId="6" xfId="0" applyFont="1" applyFill="1" applyBorder="1" applyAlignment="1">
      <alignment horizontal="right" vertical="top"/>
    </xf>
    <xf numFmtId="0" fontId="25" fillId="0" borderId="0" xfId="0" quotePrefix="1" applyFont="1" applyFill="1" applyBorder="1" applyAlignment="1">
      <alignment vertical="top"/>
    </xf>
    <xf numFmtId="2" fontId="11" fillId="4" borderId="5" xfId="0" quotePrefix="1" applyNumberFormat="1" applyFont="1" applyFill="1" applyBorder="1" applyAlignment="1">
      <alignment vertical="top"/>
    </xf>
    <xf numFmtId="0" fontId="26" fillId="4" borderId="6" xfId="0" applyFont="1" applyFill="1" applyBorder="1" applyAlignment="1">
      <alignment horizontal="right" vertical="top"/>
    </xf>
    <xf numFmtId="0" fontId="0" fillId="13" borderId="3" xfId="0" applyFill="1" applyBorder="1" applyAlignment="1">
      <alignment vertical="top"/>
    </xf>
    <xf numFmtId="2" fontId="0" fillId="13" borderId="2" xfId="0" applyNumberFormat="1" applyFill="1" applyBorder="1" applyAlignment="1">
      <alignment vertical="top"/>
    </xf>
    <xf numFmtId="0" fontId="0" fillId="13" borderId="4" xfId="0" applyFill="1" applyBorder="1" applyAlignment="1">
      <alignment vertical="top"/>
    </xf>
    <xf numFmtId="2" fontId="3" fillId="0" borderId="0" xfId="0" applyNumberFormat="1" applyFont="1" applyFill="1" applyBorder="1" applyAlignment="1">
      <alignment vertical="top"/>
    </xf>
    <xf numFmtId="2" fontId="11" fillId="4" borderId="5" xfId="0" applyNumberFormat="1" applyFont="1" applyFill="1" applyBorder="1" applyAlignment="1">
      <alignment vertical="top"/>
    </xf>
    <xf numFmtId="2" fontId="11" fillId="13" borderId="5" xfId="0" applyNumberFormat="1" applyFont="1" applyFill="1" applyBorder="1" applyAlignment="1">
      <alignment vertical="top"/>
    </xf>
    <xf numFmtId="2" fontId="11" fillId="13" borderId="0" xfId="0" applyNumberFormat="1" applyFont="1" applyFill="1" applyBorder="1" applyAlignment="1">
      <alignment vertical="top"/>
    </xf>
    <xf numFmtId="0" fontId="11" fillId="13" borderId="6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0" fillId="4" borderId="5" xfId="0" applyFont="1" applyFill="1" applyBorder="1" applyAlignment="1">
      <alignment vertical="top"/>
    </xf>
    <xf numFmtId="0" fontId="0" fillId="4" borderId="0" xfId="0" applyFont="1" applyFill="1" applyBorder="1" applyAlignment="1">
      <alignment vertical="top"/>
    </xf>
    <xf numFmtId="0" fontId="0" fillId="4" borderId="6" xfId="0" applyFont="1" applyFill="1" applyBorder="1" applyAlignment="1">
      <alignment vertical="top"/>
    </xf>
    <xf numFmtId="0" fontId="4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2" fillId="18" borderId="7" xfId="0" applyFont="1" applyFill="1" applyBorder="1" applyAlignment="1">
      <alignment vertical="top"/>
    </xf>
    <xf numFmtId="0" fontId="2" fillId="18" borderId="1" xfId="0" applyFont="1" applyFill="1" applyBorder="1" applyAlignment="1">
      <alignment vertical="top"/>
    </xf>
    <xf numFmtId="0" fontId="2" fillId="18" borderId="8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2" fillId="5" borderId="7" xfId="0" applyFont="1" applyFill="1" applyBorder="1" applyAlignment="1">
      <alignment vertical="top"/>
    </xf>
    <xf numFmtId="0" fontId="2" fillId="5" borderId="1" xfId="0" applyFont="1" applyFill="1" applyBorder="1" applyAlignment="1">
      <alignment vertical="top"/>
    </xf>
    <xf numFmtId="0" fontId="2" fillId="5" borderId="8" xfId="0" applyFont="1" applyFill="1" applyBorder="1" applyAlignment="1">
      <alignment vertical="top"/>
    </xf>
    <xf numFmtId="0" fontId="0" fillId="6" borderId="3" xfId="0" quotePrefix="1" applyFill="1" applyBorder="1" applyAlignment="1">
      <alignment horizontal="left" vertical="top"/>
    </xf>
    <xf numFmtId="2" fontId="0" fillId="6" borderId="2" xfId="0" quotePrefix="1" applyNumberFormat="1" applyFill="1" applyBorder="1" applyAlignment="1">
      <alignment vertical="top"/>
    </xf>
    <xf numFmtId="0" fontId="0" fillId="6" borderId="4" xfId="0" applyFill="1" applyBorder="1" applyAlignment="1">
      <alignment vertical="top"/>
    </xf>
    <xf numFmtId="0" fontId="0" fillId="6" borderId="5" xfId="0" applyFill="1" applyBorder="1" applyAlignment="1">
      <alignment vertical="top"/>
    </xf>
    <xf numFmtId="2" fontId="11" fillId="6" borderId="0" xfId="0" quotePrefix="1" applyNumberFormat="1" applyFont="1" applyFill="1" applyBorder="1" applyAlignment="1">
      <alignment vertical="top"/>
    </xf>
    <xf numFmtId="0" fontId="0" fillId="6" borderId="6" xfId="0" applyFill="1" applyBorder="1" applyAlignment="1">
      <alignment vertical="top"/>
    </xf>
    <xf numFmtId="2" fontId="0" fillId="6" borderId="0" xfId="0" quotePrefix="1" applyNumberFormat="1" applyFill="1" applyBorder="1" applyAlignment="1">
      <alignment vertical="top"/>
    </xf>
    <xf numFmtId="0" fontId="11" fillId="6" borderId="6" xfId="0" applyFont="1" applyFill="1" applyBorder="1" applyAlignment="1">
      <alignment horizontal="left" vertical="top"/>
    </xf>
    <xf numFmtId="2" fontId="11" fillId="6" borderId="0" xfId="0" applyNumberFormat="1" applyFont="1" applyFill="1" applyBorder="1" applyAlignment="1">
      <alignment vertical="top"/>
    </xf>
    <xf numFmtId="2" fontId="11" fillId="6" borderId="0" xfId="0" quotePrefix="1" applyNumberFormat="1" applyFont="1" applyFill="1" applyBorder="1" applyAlignment="1">
      <alignment horizontal="right" vertical="top"/>
    </xf>
    <xf numFmtId="0" fontId="0" fillId="6" borderId="5" xfId="0" quotePrefix="1" applyFill="1" applyBorder="1" applyAlignment="1">
      <alignment vertical="top"/>
    </xf>
    <xf numFmtId="2" fontId="0" fillId="6" borderId="0" xfId="0" quotePrefix="1" applyNumberFormat="1" applyFill="1" applyBorder="1" applyAlignment="1">
      <alignment horizontal="right" vertical="top"/>
    </xf>
    <xf numFmtId="0" fontId="11" fillId="6" borderId="5" xfId="0" quotePrefix="1" applyFont="1" applyFill="1" applyBorder="1" applyAlignment="1">
      <alignment horizontal="left" vertical="top"/>
    </xf>
    <xf numFmtId="2" fontId="0" fillId="6" borderId="0" xfId="0" applyNumberFormat="1" applyFill="1" applyBorder="1" applyAlignment="1">
      <alignment vertical="top"/>
    </xf>
    <xf numFmtId="0" fontId="18" fillId="9" borderId="7" xfId="0" applyFont="1" applyFill="1" applyBorder="1" applyAlignment="1">
      <alignment vertical="top"/>
    </xf>
    <xf numFmtId="0" fontId="18" fillId="9" borderId="1" xfId="0" applyFont="1" applyFill="1" applyBorder="1" applyAlignment="1">
      <alignment vertical="top"/>
    </xf>
    <xf numFmtId="2" fontId="4" fillId="9" borderId="8" xfId="0" applyNumberFormat="1" applyFont="1" applyFill="1" applyBorder="1" applyAlignment="1">
      <alignment vertical="top"/>
    </xf>
    <xf numFmtId="0" fontId="30" fillId="0" borderId="0" xfId="0" applyFont="1"/>
    <xf numFmtId="0" fontId="31" fillId="0" borderId="0" xfId="0" applyFont="1" applyFill="1" applyAlignment="1">
      <alignment horizontal="center"/>
    </xf>
    <xf numFmtId="2" fontId="0" fillId="0" borderId="0" xfId="0" applyNumberFormat="1" applyFont="1"/>
    <xf numFmtId="0" fontId="11" fillId="0" borderId="0" xfId="0" applyFont="1" applyFill="1" applyAlignment="1">
      <alignment horizont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2" fillId="0" borderId="0" xfId="0" applyFont="1"/>
    <xf numFmtId="0" fontId="0" fillId="0" borderId="0" xfId="0" applyFill="1"/>
    <xf numFmtId="0" fontId="36" fillId="0" borderId="0" xfId="0" applyFont="1"/>
    <xf numFmtId="2" fontId="0" fillId="2" borderId="3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top"/>
    </xf>
    <xf numFmtId="2" fontId="0" fillId="2" borderId="5" xfId="0" applyNumberFormat="1" applyFill="1" applyBorder="1"/>
    <xf numFmtId="0" fontId="2" fillId="10" borderId="7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2" fontId="0" fillId="7" borderId="3" xfId="0" applyNumberFormat="1" applyFill="1" applyBorder="1" applyAlignment="1">
      <alignment horizontal="center" vertical="center"/>
    </xf>
    <xf numFmtId="2" fontId="0" fillId="7" borderId="2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/>
    </xf>
    <xf numFmtId="2" fontId="0" fillId="7" borderId="5" xfId="0" applyNumberFormat="1" applyFill="1" applyBorder="1" applyAlignment="1">
      <alignment horizontal="center" vertical="center"/>
    </xf>
    <xf numFmtId="2" fontId="0" fillId="7" borderId="0" xfId="0" applyNumberFormat="1" applyFill="1" applyBorder="1" applyAlignment="1">
      <alignment horizontal="center" vertical="center"/>
    </xf>
    <xf numFmtId="2" fontId="0" fillId="7" borderId="6" xfId="0" applyNumberForma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top"/>
    </xf>
    <xf numFmtId="2" fontId="0" fillId="7" borderId="5" xfId="0" applyNumberFormat="1" applyFill="1" applyBorder="1"/>
    <xf numFmtId="0" fontId="2" fillId="11" borderId="7" xfId="0" applyFon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2" fontId="0" fillId="11" borderId="8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2" fontId="0" fillId="8" borderId="2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2" fontId="0" fillId="8" borderId="3" xfId="0" applyNumberFormat="1" applyFill="1" applyBorder="1" applyAlignment="1">
      <alignment horizontal="center" vertical="center"/>
    </xf>
    <xf numFmtId="0" fontId="0" fillId="8" borderId="6" xfId="0" applyFont="1" applyFill="1" applyBorder="1" applyAlignment="1">
      <alignment horizontal="center"/>
    </xf>
    <xf numFmtId="0" fontId="0" fillId="8" borderId="5" xfId="0" applyFill="1" applyBorder="1" applyAlignment="1">
      <alignment horizontal="center" vertical="center"/>
    </xf>
    <xf numFmtId="2" fontId="0" fillId="8" borderId="0" xfId="0" applyNumberForma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2" fontId="0" fillId="8" borderId="5" xfId="0" applyNumberForma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top"/>
    </xf>
    <xf numFmtId="0" fontId="2" fillId="8" borderId="5" xfId="0" applyFont="1" applyFill="1" applyBorder="1" applyAlignment="1">
      <alignment horizontal="center" vertical="center"/>
    </xf>
    <xf numFmtId="2" fontId="0" fillId="8" borderId="6" xfId="0" quotePrefix="1" applyNumberForma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" xfId="0" applyFont="1" applyFill="1" applyBorder="1"/>
    <xf numFmtId="0" fontId="14" fillId="6" borderId="8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/>
    </xf>
    <xf numFmtId="0" fontId="0" fillId="0" borderId="9" xfId="0" applyBorder="1"/>
    <xf numFmtId="0" fontId="2" fillId="0" borderId="10" xfId="0" applyFont="1" applyFill="1" applyBorder="1"/>
    <xf numFmtId="0" fontId="14" fillId="0" borderId="11" xfId="0" applyFont="1" applyFill="1" applyBorder="1" applyAlignment="1">
      <alignment horizontal="center" vertical="top"/>
    </xf>
    <xf numFmtId="0" fontId="0" fillId="19" borderId="11" xfId="0" applyFill="1" applyBorder="1" applyAlignment="1">
      <alignment horizontal="center"/>
    </xf>
    <xf numFmtId="0" fontId="9" fillId="19" borderId="0" xfId="0" applyFont="1" applyFill="1" applyBorder="1" applyAlignment="1">
      <alignment horizontal="right"/>
    </xf>
    <xf numFmtId="0" fontId="0" fillId="19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right"/>
    </xf>
    <xf numFmtId="2" fontId="11" fillId="4" borderId="0" xfId="0" quotePrefix="1" applyNumberFormat="1" applyFont="1" applyFill="1" applyBorder="1" applyAlignment="1">
      <alignment vertical="top"/>
    </xf>
    <xf numFmtId="164" fontId="11" fillId="4" borderId="5" xfId="0" quotePrefix="1" applyNumberFormat="1" applyFont="1" applyFill="1" applyBorder="1" applyAlignment="1">
      <alignment vertical="top"/>
    </xf>
    <xf numFmtId="164" fontId="0" fillId="0" borderId="0" xfId="0" applyNumberFormat="1"/>
    <xf numFmtId="164" fontId="0" fillId="8" borderId="0" xfId="0" applyNumberFormat="1" applyFill="1"/>
    <xf numFmtId="164" fontId="0" fillId="7" borderId="0" xfId="0" applyNumberFormat="1" applyFill="1"/>
    <xf numFmtId="164" fontId="0" fillId="12" borderId="0" xfId="0" applyNumberFormat="1" applyFill="1"/>
    <xf numFmtId="164" fontId="0" fillId="14" borderId="0" xfId="0" applyNumberFormat="1" applyFill="1"/>
    <xf numFmtId="166" fontId="11" fillId="10" borderId="2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ACF Data Set y</a:t>
            </a:r>
            <a:r>
              <a:rPr lang="en-US" baseline="-25000"/>
              <a:t>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Autocorr'!$E$1</c:f>
              <c:strCache>
                <c:ptCount val="1"/>
                <c:pt idx="0">
                  <c:v>ACF yt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'1. Autocorr'!$E$3:$E$22</c:f>
              <c:numCache>
                <c:formatCode>0.000</c:formatCode>
                <c:ptCount val="20"/>
                <c:pt idx="0">
                  <c:v>0.70808340042279849</c:v>
                </c:pt>
                <c:pt idx="1">
                  <c:v>0.50615267207282055</c:v>
                </c:pt>
                <c:pt idx="2">
                  <c:v>0.42260799437076468</c:v>
                </c:pt>
                <c:pt idx="3">
                  <c:v>0.21860080478153993</c:v>
                </c:pt>
                <c:pt idx="4">
                  <c:v>0.14519652398194871</c:v>
                </c:pt>
                <c:pt idx="5">
                  <c:v>0.1449890994922588</c:v>
                </c:pt>
                <c:pt idx="6">
                  <c:v>7.2395046834013658E-3</c:v>
                </c:pt>
                <c:pt idx="7">
                  <c:v>1.918342041672674E-2</c:v>
                </c:pt>
                <c:pt idx="8">
                  <c:v>-1.0450279107167906E-2</c:v>
                </c:pt>
                <c:pt idx="9">
                  <c:v>-7.6563766708723974E-2</c:v>
                </c:pt>
                <c:pt idx="10">
                  <c:v>-1.3441714946414085E-2</c:v>
                </c:pt>
                <c:pt idx="11">
                  <c:v>2.8666164819956715E-2</c:v>
                </c:pt>
                <c:pt idx="12">
                  <c:v>-8.9884578915821276E-3</c:v>
                </c:pt>
                <c:pt idx="13">
                  <c:v>1.3919719031007579E-2</c:v>
                </c:pt>
                <c:pt idx="14">
                  <c:v>3.0127386432288111E-2</c:v>
                </c:pt>
                <c:pt idx="15">
                  <c:v>5.9034575083897506E-2</c:v>
                </c:pt>
                <c:pt idx="16">
                  <c:v>9.7326047086195647E-2</c:v>
                </c:pt>
                <c:pt idx="17">
                  <c:v>8.8940196934404414E-2</c:v>
                </c:pt>
                <c:pt idx="18">
                  <c:v>-1.1033724233110049E-2</c:v>
                </c:pt>
                <c:pt idx="19">
                  <c:v>-1.3151585513013913E-2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D-4F8D-97E5-43C87D561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885304"/>
        <c:axId val="702887928"/>
      </c:barChart>
      <c:lineChart>
        <c:grouping val="standard"/>
        <c:varyColors val="0"/>
        <c:ser>
          <c:idx val="2"/>
          <c:order val="1"/>
          <c:tx>
            <c:strRef>
              <c:f>'1. Autocorr'!$G$1</c:f>
              <c:strCache>
                <c:ptCount val="1"/>
                <c:pt idx="0">
                  <c:v>+CI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Autocorr'!$G$3:$G$22</c:f>
              <c:numCache>
                <c:formatCode>0.000</c:formatCode>
                <c:ptCount val="20"/>
                <c:pt idx="0">
                  <c:v>0.39227079844758717</c:v>
                </c:pt>
                <c:pt idx="1">
                  <c:v>0.43959485952890737</c:v>
                </c:pt>
                <c:pt idx="2">
                  <c:v>0.46977404074948181</c:v>
                </c:pt>
                <c:pt idx="3">
                  <c:v>0.47752558589712119</c:v>
                </c:pt>
                <c:pt idx="4">
                  <c:v>0.48090563973911454</c:v>
                </c:pt>
                <c:pt idx="5">
                  <c:v>0.48425255208064244</c:v>
                </c:pt>
                <c:pt idx="6">
                  <c:v>0.48426086750080566</c:v>
                </c:pt>
                <c:pt idx="7">
                  <c:v>0.48431925080542193</c:v>
                </c:pt>
                <c:pt idx="8">
                  <c:v>0.48433657521404627</c:v>
                </c:pt>
                <c:pt idx="9">
                  <c:v>0.4852655953722364</c:v>
                </c:pt>
                <c:pt idx="10">
                  <c:v>0.48529420150821856</c:v>
                </c:pt>
                <c:pt idx="11">
                  <c:v>0.4854242837525522</c:v>
                </c:pt>
                <c:pt idx="12">
                  <c:v>0.48543707124222768</c:v>
                </c:pt>
                <c:pt idx="13">
                  <c:v>0.48546773719202635</c:v>
                </c:pt>
                <c:pt idx="14">
                  <c:v>0.48561136563143015</c:v>
                </c:pt>
                <c:pt idx="15">
                  <c:v>0.48616245219649545</c:v>
                </c:pt>
                <c:pt idx="16">
                  <c:v>0.48765714448464381</c:v>
                </c:pt>
                <c:pt idx="17">
                  <c:v>0.48890185918602252</c:v>
                </c:pt>
                <c:pt idx="18">
                  <c:v>0.48892099100235753</c:v>
                </c:pt>
                <c:pt idx="19">
                  <c:v>0.48894817088704567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D-4F8D-97E5-43C87D561CE7}"/>
            </c:ext>
          </c:extLst>
        </c:ser>
        <c:ser>
          <c:idx val="1"/>
          <c:order val="2"/>
          <c:tx>
            <c:strRef>
              <c:f>'1. Autocorr'!$F$1</c:f>
              <c:strCache>
                <c:ptCount val="1"/>
                <c:pt idx="0">
                  <c:v>-CI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Autocorr'!$F$3:$F$22</c:f>
              <c:numCache>
                <c:formatCode>0.000</c:formatCode>
                <c:ptCount val="20"/>
                <c:pt idx="0">
                  <c:v>-0.39227079844758717</c:v>
                </c:pt>
                <c:pt idx="1">
                  <c:v>-0.43959485952890737</c:v>
                </c:pt>
                <c:pt idx="2">
                  <c:v>-0.46977404074948181</c:v>
                </c:pt>
                <c:pt idx="3">
                  <c:v>-0.47752558589712119</c:v>
                </c:pt>
                <c:pt idx="4">
                  <c:v>-0.48090563973911454</c:v>
                </c:pt>
                <c:pt idx="5">
                  <c:v>-0.48425255208064244</c:v>
                </c:pt>
                <c:pt idx="6">
                  <c:v>-0.48426086750080566</c:v>
                </c:pt>
                <c:pt idx="7">
                  <c:v>-0.48431925080542193</c:v>
                </c:pt>
                <c:pt idx="8">
                  <c:v>-0.48433657521404627</c:v>
                </c:pt>
                <c:pt idx="9">
                  <c:v>-0.4852655953722364</c:v>
                </c:pt>
                <c:pt idx="10">
                  <c:v>-0.48529420150821856</c:v>
                </c:pt>
                <c:pt idx="11">
                  <c:v>-0.4854242837525522</c:v>
                </c:pt>
                <c:pt idx="12">
                  <c:v>-0.48543707124222768</c:v>
                </c:pt>
                <c:pt idx="13">
                  <c:v>-0.48546773719202635</c:v>
                </c:pt>
                <c:pt idx="14">
                  <c:v>-0.48561136563143015</c:v>
                </c:pt>
                <c:pt idx="15">
                  <c:v>-0.48616245219649545</c:v>
                </c:pt>
                <c:pt idx="16">
                  <c:v>-0.48765714448464381</c:v>
                </c:pt>
                <c:pt idx="17">
                  <c:v>-0.48890185918602252</c:v>
                </c:pt>
                <c:pt idx="18">
                  <c:v>-0.48892099100235753</c:v>
                </c:pt>
                <c:pt idx="19">
                  <c:v>-0.48894817088704567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CD-4F8D-97E5-43C87D561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885304"/>
        <c:axId val="702887928"/>
      </c:lineChart>
      <c:catAx>
        <c:axId val="702885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7928"/>
        <c:crosses val="autoZero"/>
        <c:auto val="1"/>
        <c:lblAlgn val="ctr"/>
        <c:lblOffset val="100"/>
        <c:noMultiLvlLbl val="0"/>
      </c:catAx>
      <c:valAx>
        <c:axId val="702887928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Forecasts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Forecast'!$B$1</c:f>
              <c:strCache>
                <c:ptCount val="1"/>
                <c:pt idx="0">
                  <c:v>yt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'4. Forecast'!$B$2:$B$51</c:f>
              <c:numCache>
                <c:formatCode>0.00</c:formatCode>
                <c:ptCount val="50"/>
                <c:pt idx="0">
                  <c:v>1.2999999999999998</c:v>
                </c:pt>
                <c:pt idx="1">
                  <c:v>8.6</c:v>
                </c:pt>
                <c:pt idx="2">
                  <c:v>12.132</c:v>
                </c:pt>
                <c:pt idx="3">
                  <c:v>10.9696</c:v>
                </c:pt>
                <c:pt idx="4">
                  <c:v>7.8545599999999984</c:v>
                </c:pt>
                <c:pt idx="5">
                  <c:v>6.9285119999999987</c:v>
                </c:pt>
                <c:pt idx="6">
                  <c:v>3.8660799999999984</c:v>
                </c:pt>
                <c:pt idx="7">
                  <c:v>2.9443020799999982</c:v>
                </c:pt>
                <c:pt idx="8">
                  <c:v>-0.12313113600000225</c:v>
                </c:pt>
                <c:pt idx="9">
                  <c:v>4.9504067583999998</c:v>
                </c:pt>
                <c:pt idx="10">
                  <c:v>3.2800263884799983</c:v>
                </c:pt>
                <c:pt idx="11">
                  <c:v>-8.8043970560002904E-2</c:v>
                </c:pt>
                <c:pt idx="12">
                  <c:v>2.8647606013951963</c:v>
                </c:pt>
                <c:pt idx="13">
                  <c:v>3.345895516405756</c:v>
                </c:pt>
                <c:pt idx="14">
                  <c:v>1.8383547169013719</c:v>
                </c:pt>
                <c:pt idx="15">
                  <c:v>4.535340490896175</c:v>
                </c:pt>
                <c:pt idx="16">
                  <c:v>0.91413563801271902</c:v>
                </c:pt>
                <c:pt idx="17">
                  <c:v>1.7656540318667853</c:v>
                </c:pt>
                <c:pt idx="18">
                  <c:v>2.4062615234113913</c:v>
                </c:pt>
                <c:pt idx="19">
                  <c:v>4.962504573630425</c:v>
                </c:pt>
                <c:pt idx="20">
                  <c:v>1.2850018151585152</c:v>
                </c:pt>
                <c:pt idx="21">
                  <c:v>2.1140007203459419</c:v>
                </c:pt>
                <c:pt idx="22">
                  <c:v>2.7456002858513884</c:v>
                </c:pt>
                <c:pt idx="23">
                  <c:v>1.2982401134257575</c:v>
                </c:pt>
                <c:pt idx="24">
                  <c:v>1.9296045004381313E-2</c:v>
                </c:pt>
                <c:pt idx="25">
                  <c:v>0.8077184178553809</c:v>
                </c:pt>
                <c:pt idx="26">
                  <c:v>-0.57691263291639938</c:v>
                </c:pt>
                <c:pt idx="27">
                  <c:v>-1.8307650531899835</c:v>
                </c:pt>
                <c:pt idx="28">
                  <c:v>-3.0323060212853661</c:v>
                </c:pt>
                <c:pt idx="29">
                  <c:v>-6.2129224085178993</c:v>
                </c:pt>
                <c:pt idx="30">
                  <c:v>-1.1851689634086644</c:v>
                </c:pt>
                <c:pt idx="31">
                  <c:v>-2.8740675853640711</c:v>
                </c:pt>
                <c:pt idx="32">
                  <c:v>-6.2496270341458739</c:v>
                </c:pt>
                <c:pt idx="33">
                  <c:v>-1.2998508136584519</c:v>
                </c:pt>
                <c:pt idx="34">
                  <c:v>-1.0199403254634252</c:v>
                </c:pt>
                <c:pt idx="35">
                  <c:v>-2.6079761301853921</c:v>
                </c:pt>
                <c:pt idx="36">
                  <c:v>2.0568095479258304</c:v>
                </c:pt>
                <c:pt idx="37">
                  <c:v>2.2227238191703229</c:v>
                </c:pt>
                <c:pt idx="38">
                  <c:v>0.58908952766812117</c:v>
                </c:pt>
                <c:pt idx="39">
                  <c:v>5.2356358110672412</c:v>
                </c:pt>
                <c:pt idx="40">
                  <c:v>1.3942543244268895</c:v>
                </c:pt>
                <c:pt idx="41">
                  <c:v>2.1577017297707481</c:v>
                </c:pt>
                <c:pt idx="42">
                  <c:v>6.763080691908292</c:v>
                </c:pt>
                <c:pt idx="43">
                  <c:v>4.905232276763309</c:v>
                </c:pt>
                <c:pt idx="44">
                  <c:v>1.4620929107053158</c:v>
                </c:pt>
                <c:pt idx="45">
                  <c:v>-1.6151628357178818</c:v>
                </c:pt>
                <c:pt idx="46">
                  <c:v>-4.5460651342871614</c:v>
                </c:pt>
                <c:pt idx="47">
                  <c:v>-1.4184260537148732</c:v>
                </c:pt>
                <c:pt idx="48">
                  <c:v>1.1326295785140421</c:v>
                </c:pt>
                <c:pt idx="49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E3-4D2F-8308-1EA0F0E601D0}"/>
            </c:ext>
          </c:extLst>
        </c:ser>
        <c:ser>
          <c:idx val="1"/>
          <c:order val="1"/>
          <c:tx>
            <c:strRef>
              <c:f>'4. Forecast'!$C$1</c:f>
              <c:strCache>
                <c:ptCount val="1"/>
                <c:pt idx="0">
                  <c:v>ŷt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'4. Forecast'!$C$2:$C$61</c:f>
              <c:numCache>
                <c:formatCode>0.00</c:formatCode>
                <c:ptCount val="60"/>
                <c:pt idx="0">
                  <c:v>1.2999999999999998</c:v>
                </c:pt>
                <c:pt idx="1">
                  <c:v>1.4776861190045583</c:v>
                </c:pt>
                <c:pt idx="2">
                  <c:v>8.6964032680339116</c:v>
                </c:pt>
                <c:pt idx="3">
                  <c:v>9.5616290620671336</c:v>
                </c:pt>
                <c:pt idx="4">
                  <c:v>8.083031668660249</c:v>
                </c:pt>
                <c:pt idx="5">
                  <c:v>5.5194084704700401</c:v>
                </c:pt>
                <c:pt idx="6">
                  <c:v>5.5397149542624824</c:v>
                </c:pt>
                <c:pt idx="7">
                  <c:v>2.4764435095838202</c:v>
                </c:pt>
                <c:pt idx="8">
                  <c:v>2.6850632208633325</c:v>
                </c:pt>
                <c:pt idx="9">
                  <c:v>-0.45256640122184</c:v>
                </c:pt>
                <c:pt idx="10">
                  <c:v>5.7657594517777095</c:v>
                </c:pt>
                <c:pt idx="11">
                  <c:v>1.8083940799354656</c:v>
                </c:pt>
                <c:pt idx="12">
                  <c:v>-9.4622003743208838E-2</c:v>
                </c:pt>
                <c:pt idx="13">
                  <c:v>3.552782099264483</c:v>
                </c:pt>
                <c:pt idx="14">
                  <c:v>2.6893014760356362</c:v>
                </c:pt>
                <c:pt idx="15">
                  <c:v>1.5031048462953276</c:v>
                </c:pt>
                <c:pt idx="16">
                  <c:v>4.6311944287042408</c:v>
                </c:pt>
                <c:pt idx="17">
                  <c:v>-0.13443348824923373</c:v>
                </c:pt>
                <c:pt idx="18">
                  <c:v>2.4707240040022471</c:v>
                </c:pt>
                <c:pt idx="19">
                  <c:v>2.1502962383017832</c:v>
                </c:pt>
                <c:pt idx="20">
                  <c:v>4.819030242906873</c:v>
                </c:pt>
                <c:pt idx="21">
                  <c:v>0.16643653951229609</c:v>
                </c:pt>
                <c:pt idx="22">
                  <c:v>2.7074856449119844</c:v>
                </c:pt>
                <c:pt idx="23">
                  <c:v>2.4016847056971953</c:v>
                </c:pt>
                <c:pt idx="24">
                  <c:v>1.0701091072207121</c:v>
                </c:pt>
                <c:pt idx="25">
                  <c:v>0.28444282685642053</c:v>
                </c:pt>
                <c:pt idx="26">
                  <c:v>1.3605666875241103</c:v>
                </c:pt>
                <c:pt idx="27">
                  <c:v>-0.41746710671942955</c:v>
                </c:pt>
                <c:pt idx="28">
                  <c:v>-1.0136370397322012</c:v>
                </c:pt>
                <c:pt idx="29">
                  <c:v>-1.9929650080800148</c:v>
                </c:pt>
                <c:pt idx="30">
                  <c:v>-4.8059352571369232</c:v>
                </c:pt>
                <c:pt idx="31">
                  <c:v>1.2471126154134398</c:v>
                </c:pt>
                <c:pt idx="32">
                  <c:v>-2.6678484010866033</c:v>
                </c:pt>
                <c:pt idx="33">
                  <c:v>-4.5939575710641058</c:v>
                </c:pt>
                <c:pt idx="34">
                  <c:v>1.0545945070919927</c:v>
                </c:pt>
                <c:pt idx="35">
                  <c:v>-0.74682499146416803</c:v>
                </c:pt>
                <c:pt idx="36">
                  <c:v>-1.6678391981474538</c:v>
                </c:pt>
                <c:pt idx="37">
                  <c:v>3.326099564129358</c:v>
                </c:pt>
                <c:pt idx="38">
                  <c:v>1.6520669974204405</c:v>
                </c:pt>
                <c:pt idx="39">
                  <c:v>0.63862842728317304</c:v>
                </c:pt>
                <c:pt idx="40">
                  <c:v>5.648413150642531</c:v>
                </c:pt>
                <c:pt idx="41">
                  <c:v>-3.0062632556867808E-2</c:v>
                </c:pt>
                <c:pt idx="42">
                  <c:v>2.8234751041248578</c:v>
                </c:pt>
                <c:pt idx="43">
                  <c:v>6.3677270678975759</c:v>
                </c:pt>
                <c:pt idx="44">
                  <c:v>3.208332614563945</c:v>
                </c:pt>
                <c:pt idx="45">
                  <c:v>0.9364665793682323</c:v>
                </c:pt>
                <c:pt idx="46">
                  <c:v>-1.2972427198809016</c:v>
                </c:pt>
                <c:pt idx="47">
                  <c:v>-3.3989714978530237</c:v>
                </c:pt>
                <c:pt idx="48">
                  <c:v>0.4960865888748659</c:v>
                </c:pt>
                <c:pt idx="49">
                  <c:v>1.6068113600263703</c:v>
                </c:pt>
                <c:pt idx="50">
                  <c:v>1.6708139260802406</c:v>
                </c:pt>
                <c:pt idx="51">
                  <c:v>1.7111014670244158</c:v>
                </c:pt>
                <c:pt idx="52">
                  <c:v>1.7364611682895568</c:v>
                </c:pt>
                <c:pt idx="53">
                  <c:v>1.7524242783028565</c:v>
                </c:pt>
                <c:pt idx="54">
                  <c:v>1.7624725386759779</c:v>
                </c:pt>
                <c:pt idx="55">
                  <c:v>1.7687975929067588</c:v>
                </c:pt>
                <c:pt idx="56">
                  <c:v>1.7727790095437452</c:v>
                </c:pt>
                <c:pt idx="57">
                  <c:v>1.7752851822750606</c:v>
                </c:pt>
                <c:pt idx="58">
                  <c:v>1.7768627367818761</c:v>
                </c:pt>
                <c:pt idx="59">
                  <c:v>1.777855756213808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E3-4D2F-8308-1EA0F0E60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842064"/>
        <c:axId val="611839768"/>
      </c:lineChart>
      <c:catAx>
        <c:axId val="611842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839768"/>
        <c:crosses val="autoZero"/>
        <c:auto val="1"/>
        <c:lblAlgn val="ctr"/>
        <c:lblOffset val="100"/>
        <c:noMultiLvlLbl val="0"/>
      </c:catAx>
      <c:valAx>
        <c:axId val="61183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84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</a:t>
            </a:r>
            <a:r>
              <a:rPr lang="en-US" baseline="-25000"/>
              <a:t>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Forecast'!$D$1</c:f>
              <c:strCache>
                <c:ptCount val="1"/>
                <c:pt idx="0">
                  <c:v>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'4. Forecast'!$D$2:$D$51</c:f>
              <c:numCache>
                <c:formatCode>0.00</c:formatCode>
                <c:ptCount val="50"/>
                <c:pt idx="0">
                  <c:v>0</c:v>
                </c:pt>
                <c:pt idx="1">
                  <c:v>7.1223138809954412</c:v>
                </c:pt>
                <c:pt idx="2">
                  <c:v>3.4355967319660881</c:v>
                </c:pt>
                <c:pt idx="3">
                  <c:v>1.4079709379328662</c:v>
                </c:pt>
                <c:pt idx="4">
                  <c:v>-0.22847166866025059</c:v>
                </c:pt>
                <c:pt idx="5">
                  <c:v>1.4091035295299585</c:v>
                </c:pt>
                <c:pt idx="6">
                  <c:v>-1.673634954262484</c:v>
                </c:pt>
                <c:pt idx="7">
                  <c:v>0.46785857041617795</c:v>
                </c:pt>
                <c:pt idx="8">
                  <c:v>-2.8081943568633347</c:v>
                </c:pt>
                <c:pt idx="9">
                  <c:v>5.4029731596218395</c:v>
                </c:pt>
                <c:pt idx="10">
                  <c:v>-2.4857330632977113</c:v>
                </c:pt>
                <c:pt idx="11">
                  <c:v>-1.8964380504954685</c:v>
                </c:pt>
                <c:pt idx="12">
                  <c:v>2.9593826051384049</c:v>
                </c:pt>
                <c:pt idx="13">
                  <c:v>-0.20688658285872696</c:v>
                </c:pt>
                <c:pt idx="14">
                  <c:v>-0.85094675913426432</c:v>
                </c:pt>
                <c:pt idx="15">
                  <c:v>3.0322356446008474</c:v>
                </c:pt>
                <c:pt idx="16">
                  <c:v>-3.7170587906915218</c:v>
                </c:pt>
                <c:pt idx="17">
                  <c:v>1.900087520116019</c:v>
                </c:pt>
                <c:pt idx="18">
                  <c:v>-6.4462480590855797E-2</c:v>
                </c:pt>
                <c:pt idx="19">
                  <c:v>2.8122083353286418</c:v>
                </c:pt>
                <c:pt idx="20">
                  <c:v>-3.5340284277483578</c:v>
                </c:pt>
                <c:pt idx="21">
                  <c:v>1.9475641808336457</c:v>
                </c:pt>
                <c:pt idx="22">
                  <c:v>3.8114640939403976E-2</c:v>
                </c:pt>
                <c:pt idx="23">
                  <c:v>-1.1034445922714378</c:v>
                </c:pt>
                <c:pt idx="24">
                  <c:v>-1.0508130622163308</c:v>
                </c:pt>
                <c:pt idx="25">
                  <c:v>0.52327559099896037</c:v>
                </c:pt>
                <c:pt idx="26">
                  <c:v>-1.9374793204405096</c:v>
                </c:pt>
                <c:pt idx="27">
                  <c:v>-1.413297946470554</c:v>
                </c:pt>
                <c:pt idx="28">
                  <c:v>-2.0186689815531649</c:v>
                </c:pt>
                <c:pt idx="29">
                  <c:v>-4.2199574004378846</c:v>
                </c:pt>
                <c:pt idx="30">
                  <c:v>3.6207662937282588</c:v>
                </c:pt>
                <c:pt idx="31">
                  <c:v>-4.1211802007775109</c:v>
                </c:pt>
                <c:pt idx="32">
                  <c:v>-3.5817786330592707</c:v>
                </c:pt>
                <c:pt idx="33">
                  <c:v>3.294106757405654</c:v>
                </c:pt>
                <c:pt idx="34">
                  <c:v>-2.0745348325554178</c:v>
                </c:pt>
                <c:pt idx="35">
                  <c:v>-1.8611511387212241</c:v>
                </c:pt>
                <c:pt idx="36">
                  <c:v>3.7246487460732842</c:v>
                </c:pt>
                <c:pt idx="37">
                  <c:v>-1.1033757449590351</c:v>
                </c:pt>
                <c:pt idx="38">
                  <c:v>-1.0629774697523193</c:v>
                </c:pt>
                <c:pt idx="39">
                  <c:v>4.5970073837840681</c:v>
                </c:pt>
                <c:pt idx="40">
                  <c:v>-4.254158826215642</c:v>
                </c:pt>
                <c:pt idx="41">
                  <c:v>2.187764362327616</c:v>
                </c:pt>
                <c:pt idx="42">
                  <c:v>3.9396055877834342</c:v>
                </c:pt>
                <c:pt idx="43">
                  <c:v>-1.4624947911342669</c:v>
                </c:pt>
                <c:pt idx="44">
                  <c:v>-1.7462397038586293</c:v>
                </c:pt>
                <c:pt idx="45">
                  <c:v>-2.5516294150861141</c:v>
                </c:pt>
                <c:pt idx="46">
                  <c:v>-3.2488224144062601</c:v>
                </c:pt>
                <c:pt idx="47">
                  <c:v>1.9805454441381505</c:v>
                </c:pt>
                <c:pt idx="48">
                  <c:v>0.63654298963917622</c:v>
                </c:pt>
                <c:pt idx="49">
                  <c:v>0.40318863997362953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49-4AE6-9269-945616C09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190112"/>
        <c:axId val="470193064"/>
      </c:lineChart>
      <c:catAx>
        <c:axId val="4701901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193064"/>
        <c:crosses val="autoZero"/>
        <c:auto val="1"/>
        <c:lblAlgn val="ctr"/>
        <c:lblOffset val="100"/>
        <c:noMultiLvlLbl val="0"/>
      </c:catAx>
      <c:valAx>
        <c:axId val="47019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19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ACF Differenced y</a:t>
            </a:r>
            <a:r>
              <a:rPr lang="en-US" baseline="-25000"/>
              <a:t>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Autocorr'!$T$1</c:f>
              <c:strCache>
                <c:ptCount val="1"/>
                <c:pt idx="0">
                  <c:v>ACF Diff yt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'1. Autocorr'!$T$3:$T$22</c:f>
              <c:numCache>
                <c:formatCode>0.000</c:formatCode>
                <c:ptCount val="20"/>
                <c:pt idx="1">
                  <c:v>-0.14775995664735794</c:v>
                </c:pt>
                <c:pt idx="2">
                  <c:v>-0.20736815845039902</c:v>
                </c:pt>
                <c:pt idx="3">
                  <c:v>0.19019261541793583</c:v>
                </c:pt>
                <c:pt idx="4">
                  <c:v>-0.21219808837982135</c:v>
                </c:pt>
                <c:pt idx="5">
                  <c:v>-0.11172781109599152</c:v>
                </c:pt>
                <c:pt idx="6">
                  <c:v>0.24486771824525294</c:v>
                </c:pt>
                <c:pt idx="7">
                  <c:v>-0.24717810932101456</c:v>
                </c:pt>
                <c:pt idx="8">
                  <c:v>4.7059199572631501E-2</c:v>
                </c:pt>
                <c:pt idx="9">
                  <c:v>6.467977371630633E-2</c:v>
                </c:pt>
                <c:pt idx="10">
                  <c:v>-0.20466285631481446</c:v>
                </c:pt>
                <c:pt idx="11">
                  <c:v>1.1682551443435385E-2</c:v>
                </c:pt>
                <c:pt idx="12">
                  <c:v>0.14597368325436191</c:v>
                </c:pt>
                <c:pt idx="13">
                  <c:v>-0.10285272346124281</c:v>
                </c:pt>
                <c:pt idx="14">
                  <c:v>-1.0360626390901852E-2</c:v>
                </c:pt>
                <c:pt idx="15">
                  <c:v>-1.1296492353172063E-2</c:v>
                </c:pt>
                <c:pt idx="16">
                  <c:v>-2.1194584259988214E-2</c:v>
                </c:pt>
                <c:pt idx="17">
                  <c:v>5.9117195598321709E-2</c:v>
                </c:pt>
                <c:pt idx="18">
                  <c:v>0.17107451331661525</c:v>
                </c:pt>
                <c:pt idx="19">
                  <c:v>-0.15555016171783487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4-4D07-B5DA-7929FB439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885304"/>
        <c:axId val="702887928"/>
      </c:barChart>
      <c:lineChart>
        <c:grouping val="standard"/>
        <c:varyColors val="0"/>
        <c:ser>
          <c:idx val="2"/>
          <c:order val="1"/>
          <c:tx>
            <c:strRef>
              <c:f>'1. Autocorr'!$V$1</c:f>
              <c:strCache>
                <c:ptCount val="1"/>
                <c:pt idx="0">
                  <c:v>+CI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Autocorr'!$V$3:$V$22</c:f>
              <c:numCache>
                <c:formatCode>0.000</c:formatCode>
                <c:ptCount val="20"/>
                <c:pt idx="1">
                  <c:v>0.28604792457003719</c:v>
                </c:pt>
                <c:pt idx="2">
                  <c:v>0.29760050181919739</c:v>
                </c:pt>
                <c:pt idx="3">
                  <c:v>0.30698211885627807</c:v>
                </c:pt>
                <c:pt idx="4">
                  <c:v>0.31827412115900899</c:v>
                </c:pt>
                <c:pt idx="5">
                  <c:v>0.32133435370504104</c:v>
                </c:pt>
                <c:pt idx="6">
                  <c:v>0.33564494058903172</c:v>
                </c:pt>
                <c:pt idx="7">
                  <c:v>0.34962485398307769</c:v>
                </c:pt>
                <c:pt idx="8">
                  <c:v>0.35012109737424985</c:v>
                </c:pt>
                <c:pt idx="9">
                  <c:v>0.35105662137754673</c:v>
                </c:pt>
                <c:pt idx="10">
                  <c:v>0.36028962647097201</c:v>
                </c:pt>
                <c:pt idx="11">
                  <c:v>0.36031932410222289</c:v>
                </c:pt>
                <c:pt idx="12">
                  <c:v>0.36492623816613801</c:v>
                </c:pt>
                <c:pt idx="13">
                  <c:v>0.36719190725439083</c:v>
                </c:pt>
                <c:pt idx="14">
                  <c:v>0.36721482550346135</c:v>
                </c:pt>
                <c:pt idx="15">
                  <c:v>0.36724206925880493</c:v>
                </c:pt>
                <c:pt idx="16">
                  <c:v>0.36733795560017374</c:v>
                </c:pt>
                <c:pt idx="17">
                  <c:v>0.36808309520809501</c:v>
                </c:pt>
                <c:pt idx="18">
                  <c:v>0.37426481329384065</c:v>
                </c:pt>
                <c:pt idx="19">
                  <c:v>0.37929943341712369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4-4D07-B5DA-7929FB4399D8}"/>
            </c:ext>
          </c:extLst>
        </c:ser>
        <c:ser>
          <c:idx val="1"/>
          <c:order val="2"/>
          <c:tx>
            <c:strRef>
              <c:f>'1. Autocorr'!$U$1</c:f>
              <c:strCache>
                <c:ptCount val="1"/>
                <c:pt idx="0">
                  <c:v>-CI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Autocorr'!$U$3:$U$22</c:f>
              <c:numCache>
                <c:formatCode>0.000</c:formatCode>
                <c:ptCount val="20"/>
                <c:pt idx="1">
                  <c:v>-0.28604792457003719</c:v>
                </c:pt>
                <c:pt idx="2">
                  <c:v>-0.29760050181919739</c:v>
                </c:pt>
                <c:pt idx="3">
                  <c:v>-0.30698211885627807</c:v>
                </c:pt>
                <c:pt idx="4">
                  <c:v>-0.31827412115900899</c:v>
                </c:pt>
                <c:pt idx="5">
                  <c:v>-0.32133435370504104</c:v>
                </c:pt>
                <c:pt idx="6">
                  <c:v>-0.33564494058903172</c:v>
                </c:pt>
                <c:pt idx="7">
                  <c:v>-0.34962485398307769</c:v>
                </c:pt>
                <c:pt idx="8">
                  <c:v>-0.35012109737424985</c:v>
                </c:pt>
                <c:pt idx="9">
                  <c:v>-0.35105662137754673</c:v>
                </c:pt>
                <c:pt idx="10">
                  <c:v>-0.36028962647097201</c:v>
                </c:pt>
                <c:pt idx="11">
                  <c:v>-0.36031932410222289</c:v>
                </c:pt>
                <c:pt idx="12">
                  <c:v>-0.36492623816613801</c:v>
                </c:pt>
                <c:pt idx="13">
                  <c:v>-0.36719190725439083</c:v>
                </c:pt>
                <c:pt idx="14">
                  <c:v>-0.36721482550346135</c:v>
                </c:pt>
                <c:pt idx="15">
                  <c:v>-0.36724206925880493</c:v>
                </c:pt>
                <c:pt idx="16">
                  <c:v>-0.36733795560017374</c:v>
                </c:pt>
                <c:pt idx="17">
                  <c:v>-0.36808309520809501</c:v>
                </c:pt>
                <c:pt idx="18">
                  <c:v>-0.37426481329384065</c:v>
                </c:pt>
                <c:pt idx="19">
                  <c:v>-0.37929943341712369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14-4D07-B5DA-7929FB439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885304"/>
        <c:axId val="702887928"/>
      </c:lineChart>
      <c:catAx>
        <c:axId val="702885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7928"/>
        <c:crosses val="autoZero"/>
        <c:auto val="1"/>
        <c:lblAlgn val="ctr"/>
        <c:lblOffset val="100"/>
        <c:noMultiLvlLbl val="0"/>
      </c:catAx>
      <c:valAx>
        <c:axId val="702887928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PACF Data Set y</a:t>
            </a:r>
            <a:r>
              <a:rPr lang="en-US" baseline="-25000"/>
              <a:t>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74458059928868"/>
          <c:y val="0.25549019607843138"/>
          <c:w val="0.638944885331721"/>
          <c:h val="0.685686274509803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 Autocorr'!$J$1</c:f>
              <c:strCache>
                <c:ptCount val="1"/>
                <c:pt idx="0">
                  <c:v>PACF yt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'1. Autocorr'!$J$3:$J$22</c:f>
              <c:numCache>
                <c:formatCode>0.000</c:formatCode>
                <c:ptCount val="20"/>
                <c:pt idx="0">
                  <c:v>0.70808340042279849</c:v>
                </c:pt>
                <c:pt idx="1">
                  <c:v>9.5675869983917663E-3</c:v>
                </c:pt>
                <c:pt idx="2">
                  <c:v>0.12207668194649815</c:v>
                </c:pt>
                <c:pt idx="3">
                  <c:v>-0.25498510757379067</c:v>
                </c:pt>
                <c:pt idx="4">
                  <c:v>0.11775232620835639</c:v>
                </c:pt>
                <c:pt idx="5">
                  <c:v>4.5342608281006509E-2</c:v>
                </c:pt>
                <c:pt idx="6">
                  <c:v>-0.18429625643271699</c:v>
                </c:pt>
                <c:pt idx="7">
                  <c:v>0.15120379611590021</c:v>
                </c:pt>
                <c:pt idx="8">
                  <c:v>-0.16056467700472077</c:v>
                </c:pt>
                <c:pt idx="9">
                  <c:v>6.1712181103150306E-2</c:v>
                </c:pt>
                <c:pt idx="10">
                  <c:v>5.7630126988092459E-2</c:v>
                </c:pt>
                <c:pt idx="11">
                  <c:v>4.9158830755738896E-2</c:v>
                </c:pt>
                <c:pt idx="12">
                  <c:v>-4.7960665210238222E-2</c:v>
                </c:pt>
                <c:pt idx="13">
                  <c:v>-5.372183300272431E-2</c:v>
                </c:pt>
                <c:pt idx="14">
                  <c:v>0.10442496575142324</c:v>
                </c:pt>
                <c:pt idx="15">
                  <c:v>6.6177400349948456E-2</c:v>
                </c:pt>
                <c:pt idx="16">
                  <c:v>-2.608068429162334E-3</c:v>
                </c:pt>
                <c:pt idx="17">
                  <c:v>2.1199531290187666E-2</c:v>
                </c:pt>
                <c:pt idx="18">
                  <c:v>-1.4498822102356673E-2</c:v>
                </c:pt>
                <c:pt idx="19">
                  <c:v>0.16797820399100891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7-4586-9E24-2AF5EC2B7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885304"/>
        <c:axId val="702887928"/>
      </c:barChart>
      <c:lineChart>
        <c:grouping val="standard"/>
        <c:varyColors val="0"/>
        <c:ser>
          <c:idx val="2"/>
          <c:order val="1"/>
          <c:tx>
            <c:strRef>
              <c:f>'1. Autocorr'!$L$1</c:f>
              <c:strCache>
                <c:ptCount val="1"/>
                <c:pt idx="0">
                  <c:v>+CI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'1. Autocorr'!$L$3:$L$22</c:f>
              <c:numCache>
                <c:formatCode>0.000</c:formatCode>
                <c:ptCount val="20"/>
                <c:pt idx="0">
                  <c:v>0.27718585822512665</c:v>
                </c:pt>
                <c:pt idx="1">
                  <c:v>0.27718585822512665</c:v>
                </c:pt>
                <c:pt idx="2">
                  <c:v>0.27718585822512665</c:v>
                </c:pt>
                <c:pt idx="3">
                  <c:v>0.27718585822512665</c:v>
                </c:pt>
                <c:pt idx="4">
                  <c:v>0.27718585822512665</c:v>
                </c:pt>
                <c:pt idx="5">
                  <c:v>0.27718585822512665</c:v>
                </c:pt>
                <c:pt idx="6">
                  <c:v>0.27718585822512665</c:v>
                </c:pt>
                <c:pt idx="7">
                  <c:v>0.27718585822512665</c:v>
                </c:pt>
                <c:pt idx="8">
                  <c:v>0.27718585822512665</c:v>
                </c:pt>
                <c:pt idx="9">
                  <c:v>0.27718585822512665</c:v>
                </c:pt>
                <c:pt idx="10">
                  <c:v>0.27718585822512665</c:v>
                </c:pt>
                <c:pt idx="11">
                  <c:v>0.27718585822512665</c:v>
                </c:pt>
                <c:pt idx="12">
                  <c:v>0.27718585822512665</c:v>
                </c:pt>
                <c:pt idx="13">
                  <c:v>0.27718585822512665</c:v>
                </c:pt>
                <c:pt idx="14">
                  <c:v>0.27718585822512665</c:v>
                </c:pt>
                <c:pt idx="15">
                  <c:v>0.27718585822512665</c:v>
                </c:pt>
                <c:pt idx="16">
                  <c:v>0.27718585822512665</c:v>
                </c:pt>
                <c:pt idx="17">
                  <c:v>0.27718585822512665</c:v>
                </c:pt>
                <c:pt idx="18">
                  <c:v>0.27718585822512665</c:v>
                </c:pt>
                <c:pt idx="19">
                  <c:v>0.27718585822512665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47-4586-9E24-2AF5EC2B7FB8}"/>
            </c:ext>
          </c:extLst>
        </c:ser>
        <c:ser>
          <c:idx val="1"/>
          <c:order val="2"/>
          <c:tx>
            <c:strRef>
              <c:f>'1. Autocorr'!$K$1</c:f>
              <c:strCache>
                <c:ptCount val="1"/>
                <c:pt idx="0">
                  <c:v>-CI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Autocorr'!$K$3:$K$22</c:f>
              <c:numCache>
                <c:formatCode>0.000</c:formatCode>
                <c:ptCount val="20"/>
                <c:pt idx="0">
                  <c:v>-0.27718585822512665</c:v>
                </c:pt>
                <c:pt idx="1">
                  <c:v>-0.27718585822512665</c:v>
                </c:pt>
                <c:pt idx="2">
                  <c:v>-0.27718585822512665</c:v>
                </c:pt>
                <c:pt idx="3">
                  <c:v>-0.27718585822512665</c:v>
                </c:pt>
                <c:pt idx="4">
                  <c:v>-0.27718585822512665</c:v>
                </c:pt>
                <c:pt idx="5">
                  <c:v>-0.27718585822512665</c:v>
                </c:pt>
                <c:pt idx="6">
                  <c:v>-0.27718585822512665</c:v>
                </c:pt>
                <c:pt idx="7">
                  <c:v>-0.27718585822512665</c:v>
                </c:pt>
                <c:pt idx="8">
                  <c:v>-0.27718585822512665</c:v>
                </c:pt>
                <c:pt idx="9">
                  <c:v>-0.27718585822512665</c:v>
                </c:pt>
                <c:pt idx="10">
                  <c:v>-0.27718585822512665</c:v>
                </c:pt>
                <c:pt idx="11">
                  <c:v>-0.27718585822512665</c:v>
                </c:pt>
                <c:pt idx="12">
                  <c:v>-0.27718585822512665</c:v>
                </c:pt>
                <c:pt idx="13">
                  <c:v>-0.27718585822512665</c:v>
                </c:pt>
                <c:pt idx="14">
                  <c:v>-0.27718585822512665</c:v>
                </c:pt>
                <c:pt idx="15">
                  <c:v>-0.27718585822512665</c:v>
                </c:pt>
                <c:pt idx="16">
                  <c:v>-0.27718585822512665</c:v>
                </c:pt>
                <c:pt idx="17">
                  <c:v>-0.27718585822512665</c:v>
                </c:pt>
                <c:pt idx="18">
                  <c:v>-0.27718585822512665</c:v>
                </c:pt>
                <c:pt idx="19">
                  <c:v>-0.27718585822512665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47-4586-9E24-2AF5EC2B7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885304"/>
        <c:axId val="702887928"/>
      </c:lineChart>
      <c:catAx>
        <c:axId val="702885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7928"/>
        <c:crosses val="autoZero"/>
        <c:auto val="1"/>
        <c:lblAlgn val="ctr"/>
        <c:lblOffset val="100"/>
        <c:noMultiLvlLbl val="0"/>
      </c:catAx>
      <c:valAx>
        <c:axId val="702887928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PACF Differenced y</a:t>
            </a:r>
            <a:r>
              <a:rPr lang="en-US" baseline="-25000"/>
              <a:t>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33615162073311"/>
          <c:y val="0.23588235294117649"/>
          <c:w val="0.51589898486400843"/>
          <c:h val="0.685686274509803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 Autocorr'!$Z$1</c:f>
              <c:strCache>
                <c:ptCount val="1"/>
                <c:pt idx="0">
                  <c:v>PACF Diff yt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'1. Autocorr'!$Z$4:$Z$23</c:f>
              <c:numCache>
                <c:formatCode>0.000</c:formatCode>
                <c:ptCount val="20"/>
                <c:pt idx="0">
                  <c:v>-0.14775995664735794</c:v>
                </c:pt>
                <c:pt idx="1">
                  <c:v>-0.2343170075874963</c:v>
                </c:pt>
                <c:pt idx="2">
                  <c:v>0.12737104241324604</c:v>
                </c:pt>
                <c:pt idx="3">
                  <c:v>-0.22885905161243128</c:v>
                </c:pt>
                <c:pt idx="4">
                  <c:v>-0.11976605372778258</c:v>
                </c:pt>
                <c:pt idx="5">
                  <c:v>0.11234116596202119</c:v>
                </c:pt>
                <c:pt idx="6">
                  <c:v>-0.22695857926700613</c:v>
                </c:pt>
                <c:pt idx="7">
                  <c:v>6.1701367644729978E-2</c:v>
                </c:pt>
                <c:pt idx="8">
                  <c:v>-0.13208176922036657</c:v>
                </c:pt>
                <c:pt idx="9">
                  <c:v>-0.11252631430978571</c:v>
                </c:pt>
                <c:pt idx="10">
                  <c:v>-0.11311895824433384</c:v>
                </c:pt>
                <c:pt idx="11">
                  <c:v>3.6600657857219139E-3</c:v>
                </c:pt>
                <c:pt idx="12">
                  <c:v>-1.7231463230406509E-2</c:v>
                </c:pt>
                <c:pt idx="13">
                  <c:v>-0.14984868598341647</c:v>
                </c:pt>
                <c:pt idx="14">
                  <c:v>-0.10483463853500861</c:v>
                </c:pt>
                <c:pt idx="15">
                  <c:v>-3.8546459666535124E-2</c:v>
                </c:pt>
                <c:pt idx="16">
                  <c:v>-2.2925008978743205E-2</c:v>
                </c:pt>
                <c:pt idx="17">
                  <c:v>-2.3050699688338186E-3</c:v>
                </c:pt>
                <c:pt idx="18">
                  <c:v>-5.1369699112283007E-2</c:v>
                </c:pt>
                <c:pt idx="19">
                  <c:v>-5.1009040468670691E-2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2-47B4-BD8B-685CED1A7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885304"/>
        <c:axId val="702887928"/>
      </c:barChart>
      <c:lineChart>
        <c:grouping val="standard"/>
        <c:varyColors val="0"/>
        <c:ser>
          <c:idx val="1"/>
          <c:order val="1"/>
          <c:tx>
            <c:strRef>
              <c:f>'1. Autocorr'!$AB$1</c:f>
              <c:strCache>
                <c:ptCount val="1"/>
                <c:pt idx="0">
                  <c:v>+CI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Autocorr'!$AB$4:$AB$23</c:f>
              <c:numCache>
                <c:formatCode>0.000</c:formatCode>
                <c:ptCount val="20"/>
                <c:pt idx="0">
                  <c:v>0.27999999999999997</c:v>
                </c:pt>
                <c:pt idx="1">
                  <c:v>0.27999999999999997</c:v>
                </c:pt>
                <c:pt idx="2">
                  <c:v>0.27999999999999997</c:v>
                </c:pt>
                <c:pt idx="3">
                  <c:v>0.27999999999999997</c:v>
                </c:pt>
                <c:pt idx="4">
                  <c:v>0.27999999999999997</c:v>
                </c:pt>
                <c:pt idx="5">
                  <c:v>0.27999999999999997</c:v>
                </c:pt>
                <c:pt idx="6">
                  <c:v>0.27999999999999997</c:v>
                </c:pt>
                <c:pt idx="7">
                  <c:v>0.27999999999999997</c:v>
                </c:pt>
                <c:pt idx="8">
                  <c:v>0.27999999999999997</c:v>
                </c:pt>
                <c:pt idx="9">
                  <c:v>0.27999999999999997</c:v>
                </c:pt>
                <c:pt idx="10">
                  <c:v>0.27999999999999997</c:v>
                </c:pt>
                <c:pt idx="11">
                  <c:v>0.27999999999999997</c:v>
                </c:pt>
                <c:pt idx="12">
                  <c:v>0.27999999999999997</c:v>
                </c:pt>
                <c:pt idx="13">
                  <c:v>0.27999999999999997</c:v>
                </c:pt>
                <c:pt idx="14">
                  <c:v>0.27999999999999997</c:v>
                </c:pt>
                <c:pt idx="15">
                  <c:v>0.27999999999999997</c:v>
                </c:pt>
                <c:pt idx="16">
                  <c:v>0.27999999999999997</c:v>
                </c:pt>
                <c:pt idx="17">
                  <c:v>0.27999999999999997</c:v>
                </c:pt>
                <c:pt idx="18">
                  <c:v>0.27999999999999997</c:v>
                </c:pt>
                <c:pt idx="19">
                  <c:v>0.27999999999999997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02-47B4-BD8B-685CED1A729C}"/>
            </c:ext>
          </c:extLst>
        </c:ser>
        <c:ser>
          <c:idx val="2"/>
          <c:order val="2"/>
          <c:tx>
            <c:strRef>
              <c:f>'1. Autocorr'!$AA$1</c:f>
              <c:strCache>
                <c:ptCount val="1"/>
                <c:pt idx="0">
                  <c:v>-CI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Autocorr'!$AA$4:$AA$23</c:f>
              <c:numCache>
                <c:formatCode>0.000</c:formatCode>
                <c:ptCount val="20"/>
                <c:pt idx="0">
                  <c:v>-0.27999999999999997</c:v>
                </c:pt>
                <c:pt idx="1">
                  <c:v>-0.27999999999999997</c:v>
                </c:pt>
                <c:pt idx="2">
                  <c:v>-0.27999999999999997</c:v>
                </c:pt>
                <c:pt idx="3">
                  <c:v>-0.27999999999999997</c:v>
                </c:pt>
                <c:pt idx="4">
                  <c:v>-0.27999999999999997</c:v>
                </c:pt>
                <c:pt idx="5">
                  <c:v>-0.27999999999999997</c:v>
                </c:pt>
                <c:pt idx="6">
                  <c:v>-0.27999999999999997</c:v>
                </c:pt>
                <c:pt idx="7">
                  <c:v>-0.27999999999999997</c:v>
                </c:pt>
                <c:pt idx="8">
                  <c:v>-0.27999999999999997</c:v>
                </c:pt>
                <c:pt idx="9">
                  <c:v>-0.27999999999999997</c:v>
                </c:pt>
                <c:pt idx="10">
                  <c:v>-0.27999999999999997</c:v>
                </c:pt>
                <c:pt idx="11">
                  <c:v>-0.27999999999999997</c:v>
                </c:pt>
                <c:pt idx="12">
                  <c:v>-0.27999999999999997</c:v>
                </c:pt>
                <c:pt idx="13">
                  <c:v>-0.27999999999999997</c:v>
                </c:pt>
                <c:pt idx="14">
                  <c:v>-0.27999999999999997</c:v>
                </c:pt>
                <c:pt idx="15">
                  <c:v>-0.27999999999999997</c:v>
                </c:pt>
                <c:pt idx="16">
                  <c:v>-0.27999999999999997</c:v>
                </c:pt>
                <c:pt idx="17">
                  <c:v>-0.27999999999999997</c:v>
                </c:pt>
                <c:pt idx="18">
                  <c:v>-0.27999999999999997</c:v>
                </c:pt>
                <c:pt idx="19">
                  <c:v>-0.27999999999999997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02-47B4-BD8B-685CED1A7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885304"/>
        <c:axId val="702887928"/>
      </c:lineChart>
      <c:catAx>
        <c:axId val="702885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7928"/>
        <c:crosses val="autoZero"/>
        <c:auto val="1"/>
        <c:lblAlgn val="ctr"/>
        <c:lblOffset val="100"/>
        <c:noMultiLvlLbl val="0"/>
      </c:catAx>
      <c:valAx>
        <c:axId val="702887928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Autocorr'!$B$1</c:f>
              <c:strCache>
                <c:ptCount val="1"/>
                <c:pt idx="0">
                  <c:v>yt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'1. Autocorr'!$B$2:$B$52</c:f>
              <c:numCache>
                <c:formatCode>0.00</c:formatCode>
                <c:ptCount val="51"/>
                <c:pt idx="1">
                  <c:v>1.2999999999999998</c:v>
                </c:pt>
                <c:pt idx="2">
                  <c:v>8.6</c:v>
                </c:pt>
                <c:pt idx="3">
                  <c:v>12.132</c:v>
                </c:pt>
                <c:pt idx="4">
                  <c:v>10.9696</c:v>
                </c:pt>
                <c:pt idx="5">
                  <c:v>7.8545599999999984</c:v>
                </c:pt>
                <c:pt idx="6">
                  <c:v>6.9285119999999987</c:v>
                </c:pt>
                <c:pt idx="7">
                  <c:v>3.8660799999999984</c:v>
                </c:pt>
                <c:pt idx="8">
                  <c:v>2.9443020799999982</c:v>
                </c:pt>
                <c:pt idx="9">
                  <c:v>-0.12313113600000225</c:v>
                </c:pt>
                <c:pt idx="10">
                  <c:v>4.9504067583999998</c:v>
                </c:pt>
                <c:pt idx="11">
                  <c:v>3.2800263884799983</c:v>
                </c:pt>
                <c:pt idx="12">
                  <c:v>-8.8043970560002904E-2</c:v>
                </c:pt>
                <c:pt idx="13">
                  <c:v>2.8647606013951963</c:v>
                </c:pt>
                <c:pt idx="14">
                  <c:v>3.345895516405756</c:v>
                </c:pt>
                <c:pt idx="15">
                  <c:v>1.8383547169013719</c:v>
                </c:pt>
                <c:pt idx="16">
                  <c:v>4.535340490896175</c:v>
                </c:pt>
                <c:pt idx="17">
                  <c:v>0.91413563801271902</c:v>
                </c:pt>
                <c:pt idx="18">
                  <c:v>1.7656540318667853</c:v>
                </c:pt>
                <c:pt idx="19">
                  <c:v>2.4062615234113913</c:v>
                </c:pt>
                <c:pt idx="20">
                  <c:v>4.962504573630425</c:v>
                </c:pt>
                <c:pt idx="21">
                  <c:v>1.2850018151585152</c:v>
                </c:pt>
                <c:pt idx="22">
                  <c:v>2.1140007203459419</c:v>
                </c:pt>
                <c:pt idx="23">
                  <c:v>2.7456002858513884</c:v>
                </c:pt>
                <c:pt idx="24">
                  <c:v>1.2982401134257575</c:v>
                </c:pt>
                <c:pt idx="25">
                  <c:v>1.9296045004381313E-2</c:v>
                </c:pt>
                <c:pt idx="26">
                  <c:v>0.8077184178553809</c:v>
                </c:pt>
                <c:pt idx="27">
                  <c:v>-0.57691263291639938</c:v>
                </c:pt>
                <c:pt idx="28">
                  <c:v>-1.8307650531899835</c:v>
                </c:pt>
                <c:pt idx="29">
                  <c:v>-3.0323060212853661</c:v>
                </c:pt>
                <c:pt idx="30">
                  <c:v>-6.2129224085178993</c:v>
                </c:pt>
                <c:pt idx="31">
                  <c:v>-1.1851689634086644</c:v>
                </c:pt>
                <c:pt idx="32">
                  <c:v>-2.8740675853640711</c:v>
                </c:pt>
                <c:pt idx="33">
                  <c:v>-6.2496270341458739</c:v>
                </c:pt>
                <c:pt idx="34">
                  <c:v>-1.2998508136584519</c:v>
                </c:pt>
                <c:pt idx="35">
                  <c:v>-1.0199403254634252</c:v>
                </c:pt>
                <c:pt idx="36">
                  <c:v>-2.6079761301853921</c:v>
                </c:pt>
                <c:pt idx="37">
                  <c:v>2.0568095479258304</c:v>
                </c:pt>
                <c:pt idx="38">
                  <c:v>2.2227238191703229</c:v>
                </c:pt>
                <c:pt idx="39">
                  <c:v>0.58908952766812117</c:v>
                </c:pt>
                <c:pt idx="40">
                  <c:v>5.2356358110672412</c:v>
                </c:pt>
                <c:pt idx="41">
                  <c:v>1.3942543244268895</c:v>
                </c:pt>
                <c:pt idx="42">
                  <c:v>2.1577017297707481</c:v>
                </c:pt>
                <c:pt idx="43">
                  <c:v>6.763080691908292</c:v>
                </c:pt>
                <c:pt idx="44">
                  <c:v>4.905232276763309</c:v>
                </c:pt>
                <c:pt idx="45">
                  <c:v>1.4620929107053158</c:v>
                </c:pt>
                <c:pt idx="46">
                  <c:v>-1.6151628357178818</c:v>
                </c:pt>
                <c:pt idx="47">
                  <c:v>-4.5460651342871614</c:v>
                </c:pt>
                <c:pt idx="48">
                  <c:v>-1.4184260537148732</c:v>
                </c:pt>
                <c:pt idx="49">
                  <c:v>1.1326295785140421</c:v>
                </c:pt>
                <c:pt idx="50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F-41DD-A1E5-D091FC8E1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083632"/>
        <c:axId val="549085928"/>
      </c:lineChart>
      <c:catAx>
        <c:axId val="549083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085928"/>
        <c:crosses val="autoZero"/>
        <c:auto val="1"/>
        <c:lblAlgn val="ctr"/>
        <c:lblOffset val="100"/>
        <c:noMultiLvlLbl val="0"/>
      </c:catAx>
      <c:valAx>
        <c:axId val="54908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08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Autocorr'!$Q$1</c:f>
              <c:strCache>
                <c:ptCount val="1"/>
                <c:pt idx="0">
                  <c:v>Diff yt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'1. Autocorr'!$Q$2:$Q$53</c:f>
              <c:numCache>
                <c:formatCode>0.00</c:formatCode>
                <c:ptCount val="52"/>
                <c:pt idx="2">
                  <c:v>7.3</c:v>
                </c:pt>
                <c:pt idx="3">
                  <c:v>3.532</c:v>
                </c:pt>
                <c:pt idx="4">
                  <c:v>-1.1623999999999999</c:v>
                </c:pt>
                <c:pt idx="5">
                  <c:v>-3.1150400000000014</c:v>
                </c:pt>
                <c:pt idx="6">
                  <c:v>-0.92604799999999976</c:v>
                </c:pt>
                <c:pt idx="7">
                  <c:v>-3.0624320000000003</c:v>
                </c:pt>
                <c:pt idx="8">
                  <c:v>-0.92177792000000025</c:v>
                </c:pt>
                <c:pt idx="9">
                  <c:v>-3.0674332160000004</c:v>
                </c:pt>
                <c:pt idx="10">
                  <c:v>5.073537894400002</c:v>
                </c:pt>
                <c:pt idx="11">
                  <c:v>-1.6703803699200015</c:v>
                </c:pt>
                <c:pt idx="12">
                  <c:v>-3.3680703590400012</c:v>
                </c:pt>
                <c:pt idx="13">
                  <c:v>2.9528045719551992</c:v>
                </c:pt>
                <c:pt idx="14">
                  <c:v>0.48113491501055972</c:v>
                </c:pt>
                <c:pt idx="15">
                  <c:v>-1.5075407995043841</c:v>
                </c:pt>
                <c:pt idx="16">
                  <c:v>2.6969857739948031</c:v>
                </c:pt>
                <c:pt idx="17">
                  <c:v>-3.6212048528834559</c:v>
                </c:pt>
                <c:pt idx="18">
                  <c:v>0.85151839385406625</c:v>
                </c:pt>
                <c:pt idx="19">
                  <c:v>0.64060749154460606</c:v>
                </c:pt>
                <c:pt idx="20">
                  <c:v>2.5562430502190336</c:v>
                </c:pt>
                <c:pt idx="21">
                  <c:v>-3.6775027584719098</c:v>
                </c:pt>
                <c:pt idx="22">
                  <c:v>0.82899890518742669</c:v>
                </c:pt>
                <c:pt idx="23">
                  <c:v>0.63159956550544649</c:v>
                </c:pt>
                <c:pt idx="24">
                  <c:v>-1.4473601724256309</c:v>
                </c:pt>
                <c:pt idx="25">
                  <c:v>-1.2789440684213762</c:v>
                </c:pt>
                <c:pt idx="26">
                  <c:v>0.78842237285099959</c:v>
                </c:pt>
                <c:pt idx="27">
                  <c:v>-1.3846310507717803</c:v>
                </c:pt>
                <c:pt idx="28">
                  <c:v>-1.2538524202735841</c:v>
                </c:pt>
                <c:pt idx="29">
                  <c:v>-1.2015409680953826</c:v>
                </c:pt>
                <c:pt idx="30">
                  <c:v>-3.1806163872325333</c:v>
                </c:pt>
                <c:pt idx="31">
                  <c:v>5.0277534451092354</c:v>
                </c:pt>
                <c:pt idx="32">
                  <c:v>-1.6888986219554067</c:v>
                </c:pt>
                <c:pt idx="33">
                  <c:v>-3.3755594487818028</c:v>
                </c:pt>
                <c:pt idx="34">
                  <c:v>4.9497762204874221</c:v>
                </c:pt>
                <c:pt idx="35">
                  <c:v>0.27991048819502673</c:v>
                </c:pt>
                <c:pt idx="36">
                  <c:v>-1.5880358047219669</c:v>
                </c:pt>
                <c:pt idx="37">
                  <c:v>4.6647856781112225</c:v>
                </c:pt>
                <c:pt idx="38">
                  <c:v>0.16591427124449254</c:v>
                </c:pt>
                <c:pt idx="39">
                  <c:v>-1.6336342915022017</c:v>
                </c:pt>
                <c:pt idx="40">
                  <c:v>4.64654628339912</c:v>
                </c:pt>
                <c:pt idx="41">
                  <c:v>-3.8413814866403517</c:v>
                </c:pt>
                <c:pt idx="42">
                  <c:v>0.76344740534385869</c:v>
                </c:pt>
                <c:pt idx="43">
                  <c:v>4.6053789621375438</c:v>
                </c:pt>
                <c:pt idx="44">
                  <c:v>-1.857848415144983</c:v>
                </c:pt>
                <c:pt idx="45">
                  <c:v>-3.4431393660579932</c:v>
                </c:pt>
                <c:pt idx="46">
                  <c:v>-3.0772557464231975</c:v>
                </c:pt>
                <c:pt idx="47">
                  <c:v>-2.9309022985692796</c:v>
                </c:pt>
                <c:pt idx="48">
                  <c:v>3.1276390805722882</c:v>
                </c:pt>
                <c:pt idx="49">
                  <c:v>2.5510556322289153</c:v>
                </c:pt>
                <c:pt idx="50">
                  <c:v>0.87737042148595767</c:v>
                </c:pt>
                <c:pt idx="51">
                  <c:v>-2.0099999999999998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57-4783-BBC4-00690FFE2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31656"/>
        <c:axId val="555407576"/>
      </c:lineChart>
      <c:catAx>
        <c:axId val="545831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407576"/>
        <c:crosses val="autoZero"/>
        <c:auto val="1"/>
        <c:lblAlgn val="ctr"/>
        <c:lblOffset val="100"/>
        <c:noMultiLvlLbl val="0"/>
      </c:catAx>
      <c:valAx>
        <c:axId val="555407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831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</a:t>
            </a:r>
            <a:r>
              <a:rPr lang="en-US" baseline="-25000"/>
              <a:t>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Model'!$K$1</c:f>
              <c:strCache>
                <c:ptCount val="1"/>
                <c:pt idx="0">
                  <c:v>yt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'3. Model'!$K$2:$K$52</c:f>
              <c:numCache>
                <c:formatCode>0.00</c:formatCode>
                <c:ptCount val="51"/>
                <c:pt idx="1">
                  <c:v>1.2999999999999998</c:v>
                </c:pt>
                <c:pt idx="2">
                  <c:v>8.6</c:v>
                </c:pt>
                <c:pt idx="3">
                  <c:v>12.132</c:v>
                </c:pt>
                <c:pt idx="4">
                  <c:v>10.9696</c:v>
                </c:pt>
                <c:pt idx="5">
                  <c:v>7.8545599999999984</c:v>
                </c:pt>
                <c:pt idx="6">
                  <c:v>6.9285119999999987</c:v>
                </c:pt>
                <c:pt idx="7">
                  <c:v>3.8660799999999984</c:v>
                </c:pt>
                <c:pt idx="8">
                  <c:v>2.9443020799999982</c:v>
                </c:pt>
                <c:pt idx="9">
                  <c:v>-0.12313113600000225</c:v>
                </c:pt>
                <c:pt idx="10">
                  <c:v>4.9504067583999998</c:v>
                </c:pt>
                <c:pt idx="11">
                  <c:v>3.2800263884799983</c:v>
                </c:pt>
                <c:pt idx="12">
                  <c:v>-8.8043970560002904E-2</c:v>
                </c:pt>
                <c:pt idx="13">
                  <c:v>2.8647606013951963</c:v>
                </c:pt>
                <c:pt idx="14">
                  <c:v>3.345895516405756</c:v>
                </c:pt>
                <c:pt idx="15">
                  <c:v>1.8383547169013719</c:v>
                </c:pt>
                <c:pt idx="16">
                  <c:v>4.535340490896175</c:v>
                </c:pt>
                <c:pt idx="17">
                  <c:v>0.91413563801271902</c:v>
                </c:pt>
                <c:pt idx="18">
                  <c:v>1.7656540318667853</c:v>
                </c:pt>
                <c:pt idx="19">
                  <c:v>2.4062615234113913</c:v>
                </c:pt>
                <c:pt idx="20">
                  <c:v>4.962504573630425</c:v>
                </c:pt>
                <c:pt idx="21">
                  <c:v>1.2850018151585152</c:v>
                </c:pt>
                <c:pt idx="22">
                  <c:v>2.1140007203459419</c:v>
                </c:pt>
                <c:pt idx="23">
                  <c:v>2.7456002858513884</c:v>
                </c:pt>
                <c:pt idx="24">
                  <c:v>1.2982401134257575</c:v>
                </c:pt>
                <c:pt idx="25">
                  <c:v>1.9296045004381313E-2</c:v>
                </c:pt>
                <c:pt idx="26">
                  <c:v>0.8077184178553809</c:v>
                </c:pt>
                <c:pt idx="27">
                  <c:v>-0.57691263291639938</c:v>
                </c:pt>
                <c:pt idx="28">
                  <c:v>-1.8307650531899835</c:v>
                </c:pt>
                <c:pt idx="29">
                  <c:v>-3.0323060212853661</c:v>
                </c:pt>
                <c:pt idx="30">
                  <c:v>-6.2129224085178993</c:v>
                </c:pt>
                <c:pt idx="31">
                  <c:v>-1.1851689634086644</c:v>
                </c:pt>
                <c:pt idx="32">
                  <c:v>-2.8740675853640711</c:v>
                </c:pt>
                <c:pt idx="33">
                  <c:v>-6.2496270341458739</c:v>
                </c:pt>
                <c:pt idx="34">
                  <c:v>-1.2998508136584519</c:v>
                </c:pt>
                <c:pt idx="35">
                  <c:v>-1.0199403254634252</c:v>
                </c:pt>
                <c:pt idx="36">
                  <c:v>-2.6079761301853921</c:v>
                </c:pt>
                <c:pt idx="37">
                  <c:v>2.0568095479258304</c:v>
                </c:pt>
                <c:pt idx="38">
                  <c:v>2.2227238191703229</c:v>
                </c:pt>
                <c:pt idx="39">
                  <c:v>0.58908952766812117</c:v>
                </c:pt>
                <c:pt idx="40">
                  <c:v>5.2356358110672412</c:v>
                </c:pt>
                <c:pt idx="41">
                  <c:v>1.3942543244268895</c:v>
                </c:pt>
                <c:pt idx="42">
                  <c:v>2.1577017297707481</c:v>
                </c:pt>
                <c:pt idx="43">
                  <c:v>6.763080691908292</c:v>
                </c:pt>
                <c:pt idx="44">
                  <c:v>4.905232276763309</c:v>
                </c:pt>
                <c:pt idx="45">
                  <c:v>1.4620929107053158</c:v>
                </c:pt>
                <c:pt idx="46">
                  <c:v>-1.6151628357178818</c:v>
                </c:pt>
                <c:pt idx="47">
                  <c:v>-4.5460651342871614</c:v>
                </c:pt>
                <c:pt idx="48">
                  <c:v>-1.4184260537148732</c:v>
                </c:pt>
                <c:pt idx="49">
                  <c:v>1.1326295785140421</c:v>
                </c:pt>
                <c:pt idx="50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4E-477C-B86B-CC8ADAFB1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788176"/>
        <c:axId val="540794080"/>
      </c:lineChart>
      <c:catAx>
        <c:axId val="540788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794080"/>
        <c:crosses val="autoZero"/>
        <c:auto val="1"/>
        <c:lblAlgn val="ctr"/>
        <c:lblOffset val="100"/>
        <c:noMultiLvlLbl val="0"/>
      </c:catAx>
      <c:valAx>
        <c:axId val="54079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78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</a:t>
            </a:r>
            <a:r>
              <a:rPr lang="en-US" baseline="-25000"/>
              <a:t>t</a:t>
            </a:r>
            <a:r>
              <a:rPr lang="en-US"/>
              <a:t>=y</a:t>
            </a:r>
            <a:r>
              <a:rPr lang="en-US" baseline="-25000"/>
              <a:t>t</a:t>
            </a:r>
            <a:r>
              <a:rPr lang="en-US"/>
              <a:t>-</a:t>
            </a:r>
            <a:r>
              <a:rPr lang="en-US">
                <a:latin typeface="Symbol" panose="05050102010706020507" pitchFamily="18" charset="2"/>
              </a:rPr>
              <a:t>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Model'!$L$1</c:f>
              <c:strCache>
                <c:ptCount val="1"/>
                <c:pt idx="0">
                  <c:v>zt=yt-m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'3. Model'!$L$2:$L$52</c:f>
              <c:numCache>
                <c:formatCode>0.00</c:formatCode>
                <c:ptCount val="51"/>
                <c:pt idx="1">
                  <c:v>-0.47954271673091786</c:v>
                </c:pt>
                <c:pt idx="2">
                  <c:v>6.8204572832690822</c:v>
                </c:pt>
                <c:pt idx="3">
                  <c:v>10.352457283269082</c:v>
                </c:pt>
                <c:pt idx="4">
                  <c:v>9.1900572832690823</c:v>
                </c:pt>
                <c:pt idx="5">
                  <c:v>6.075017283269081</c:v>
                </c:pt>
                <c:pt idx="6">
                  <c:v>5.1489692832690812</c:v>
                </c:pt>
                <c:pt idx="7">
                  <c:v>2.0865372832690809</c:v>
                </c:pt>
                <c:pt idx="8">
                  <c:v>1.1647593632690805</c:v>
                </c:pt>
                <c:pt idx="9">
                  <c:v>-1.9026738527309199</c:v>
                </c:pt>
                <c:pt idx="10">
                  <c:v>3.1708640416690823</c:v>
                </c:pt>
                <c:pt idx="11">
                  <c:v>1.5004836717490806</c:v>
                </c:pt>
                <c:pt idx="12">
                  <c:v>-1.8675866872909206</c:v>
                </c:pt>
                <c:pt idx="13">
                  <c:v>1.0852178846642786</c:v>
                </c:pt>
                <c:pt idx="14">
                  <c:v>1.5663527996748383</c:v>
                </c:pt>
                <c:pt idx="15">
                  <c:v>5.8812000170454182E-2</c:v>
                </c:pt>
                <c:pt idx="16">
                  <c:v>2.7557977741652575</c:v>
                </c:pt>
                <c:pt idx="17">
                  <c:v>-0.86540707871819866</c:v>
                </c:pt>
                <c:pt idx="18">
                  <c:v>-1.3888684864132417E-2</c:v>
                </c:pt>
                <c:pt idx="19">
                  <c:v>0.62671880668047364</c:v>
                </c:pt>
                <c:pt idx="20">
                  <c:v>3.1829618568995075</c:v>
                </c:pt>
                <c:pt idx="21">
                  <c:v>-0.49454090157240249</c:v>
                </c:pt>
                <c:pt idx="22">
                  <c:v>0.3344580036150242</c:v>
                </c:pt>
                <c:pt idx="23">
                  <c:v>0.96605756912047069</c:v>
                </c:pt>
                <c:pt idx="24">
                  <c:v>-0.48130260330516017</c:v>
                </c:pt>
                <c:pt idx="25">
                  <c:v>-1.7602466717265364</c:v>
                </c:pt>
                <c:pt idx="26">
                  <c:v>-0.97182429887553679</c:v>
                </c:pt>
                <c:pt idx="27">
                  <c:v>-2.3564553496473168</c:v>
                </c:pt>
                <c:pt idx="28">
                  <c:v>-3.610307769920901</c:v>
                </c:pt>
                <c:pt idx="29">
                  <c:v>-4.811848738016284</c:v>
                </c:pt>
                <c:pt idx="30">
                  <c:v>-7.9924651252488168</c:v>
                </c:pt>
                <c:pt idx="31">
                  <c:v>-2.9647116801395823</c:v>
                </c:pt>
                <c:pt idx="32">
                  <c:v>-4.6536103020949886</c:v>
                </c:pt>
                <c:pt idx="33">
                  <c:v>-8.0291697508767914</c:v>
                </c:pt>
                <c:pt idx="34">
                  <c:v>-3.0793935303893694</c:v>
                </c:pt>
                <c:pt idx="35">
                  <c:v>-2.7994830421943426</c:v>
                </c:pt>
                <c:pt idx="36">
                  <c:v>-4.3875188469163096</c:v>
                </c:pt>
                <c:pt idx="37">
                  <c:v>0.27726683119491269</c:v>
                </c:pt>
                <c:pt idx="38">
                  <c:v>0.44318110243940523</c:v>
                </c:pt>
                <c:pt idx="39">
                  <c:v>-1.1904531890627965</c:v>
                </c:pt>
                <c:pt idx="40">
                  <c:v>3.4560930943363237</c:v>
                </c:pt>
                <c:pt idx="41">
                  <c:v>-0.38528839230402823</c:v>
                </c:pt>
                <c:pt idx="42">
                  <c:v>0.37815901303983046</c:v>
                </c:pt>
                <c:pt idx="43">
                  <c:v>4.9835379751773745</c:v>
                </c:pt>
                <c:pt idx="44">
                  <c:v>3.1256895600323915</c:v>
                </c:pt>
                <c:pt idx="45">
                  <c:v>-0.31744980602560191</c:v>
                </c:pt>
                <c:pt idx="46">
                  <c:v>-3.3947055524487997</c:v>
                </c:pt>
                <c:pt idx="47">
                  <c:v>-6.3256078510180789</c:v>
                </c:pt>
                <c:pt idx="48">
                  <c:v>-3.1979687704457911</c:v>
                </c:pt>
                <c:pt idx="49">
                  <c:v>-0.64691313821687557</c:v>
                </c:pt>
                <c:pt idx="50">
                  <c:v>0.2304572832690821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29-4131-AEA0-FDDC545D1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787520"/>
        <c:axId val="540789816"/>
      </c:lineChart>
      <c:catAx>
        <c:axId val="5407875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789816"/>
        <c:crosses val="autoZero"/>
        <c:auto val="1"/>
        <c:lblAlgn val="ctr"/>
        <c:lblOffset val="100"/>
        <c:noMultiLvlLbl val="0"/>
      </c:catAx>
      <c:valAx>
        <c:axId val="54078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78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Fit</a:t>
            </a:r>
            <a:endParaRPr lang="en-US" baseline="-25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Model'!$K$1</c:f>
              <c:strCache>
                <c:ptCount val="1"/>
                <c:pt idx="0">
                  <c:v>yt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'3. Model'!$K$2:$K$52</c:f>
              <c:numCache>
                <c:formatCode>0.00</c:formatCode>
                <c:ptCount val="51"/>
                <c:pt idx="1">
                  <c:v>1.2999999999999998</c:v>
                </c:pt>
                <c:pt idx="2">
                  <c:v>8.6</c:v>
                </c:pt>
                <c:pt idx="3">
                  <c:v>12.132</c:v>
                </c:pt>
                <c:pt idx="4">
                  <c:v>10.9696</c:v>
                </c:pt>
                <c:pt idx="5">
                  <c:v>7.8545599999999984</c:v>
                </c:pt>
                <c:pt idx="6">
                  <c:v>6.9285119999999987</c:v>
                </c:pt>
                <c:pt idx="7">
                  <c:v>3.8660799999999984</c:v>
                </c:pt>
                <c:pt idx="8">
                  <c:v>2.9443020799999982</c:v>
                </c:pt>
                <c:pt idx="9">
                  <c:v>-0.12313113600000225</c:v>
                </c:pt>
                <c:pt idx="10">
                  <c:v>4.9504067583999998</c:v>
                </c:pt>
                <c:pt idx="11">
                  <c:v>3.2800263884799983</c:v>
                </c:pt>
                <c:pt idx="12">
                  <c:v>-8.8043970560002904E-2</c:v>
                </c:pt>
                <c:pt idx="13">
                  <c:v>2.8647606013951963</c:v>
                </c:pt>
                <c:pt idx="14">
                  <c:v>3.345895516405756</c:v>
                </c:pt>
                <c:pt idx="15">
                  <c:v>1.8383547169013719</c:v>
                </c:pt>
                <c:pt idx="16">
                  <c:v>4.535340490896175</c:v>
                </c:pt>
                <c:pt idx="17">
                  <c:v>0.91413563801271902</c:v>
                </c:pt>
                <c:pt idx="18">
                  <c:v>1.7656540318667853</c:v>
                </c:pt>
                <c:pt idx="19">
                  <c:v>2.4062615234113913</c:v>
                </c:pt>
                <c:pt idx="20">
                  <c:v>4.962504573630425</c:v>
                </c:pt>
                <c:pt idx="21">
                  <c:v>1.2850018151585152</c:v>
                </c:pt>
                <c:pt idx="22">
                  <c:v>2.1140007203459419</c:v>
                </c:pt>
                <c:pt idx="23">
                  <c:v>2.7456002858513884</c:v>
                </c:pt>
                <c:pt idx="24">
                  <c:v>1.2982401134257575</c:v>
                </c:pt>
                <c:pt idx="25">
                  <c:v>1.9296045004381313E-2</c:v>
                </c:pt>
                <c:pt idx="26">
                  <c:v>0.8077184178553809</c:v>
                </c:pt>
                <c:pt idx="27">
                  <c:v>-0.57691263291639938</c:v>
                </c:pt>
                <c:pt idx="28">
                  <c:v>-1.8307650531899835</c:v>
                </c:pt>
                <c:pt idx="29">
                  <c:v>-3.0323060212853661</c:v>
                </c:pt>
                <c:pt idx="30">
                  <c:v>-6.2129224085178993</c:v>
                </c:pt>
                <c:pt idx="31">
                  <c:v>-1.1851689634086644</c:v>
                </c:pt>
                <c:pt idx="32">
                  <c:v>-2.8740675853640711</c:v>
                </c:pt>
                <c:pt idx="33">
                  <c:v>-6.2496270341458739</c:v>
                </c:pt>
                <c:pt idx="34">
                  <c:v>-1.2998508136584519</c:v>
                </c:pt>
                <c:pt idx="35">
                  <c:v>-1.0199403254634252</c:v>
                </c:pt>
                <c:pt idx="36">
                  <c:v>-2.6079761301853921</c:v>
                </c:pt>
                <c:pt idx="37">
                  <c:v>2.0568095479258304</c:v>
                </c:pt>
                <c:pt idx="38">
                  <c:v>2.2227238191703229</c:v>
                </c:pt>
                <c:pt idx="39">
                  <c:v>0.58908952766812117</c:v>
                </c:pt>
                <c:pt idx="40">
                  <c:v>5.2356358110672412</c:v>
                </c:pt>
                <c:pt idx="41">
                  <c:v>1.3942543244268895</c:v>
                </c:pt>
                <c:pt idx="42">
                  <c:v>2.1577017297707481</c:v>
                </c:pt>
                <c:pt idx="43">
                  <c:v>6.763080691908292</c:v>
                </c:pt>
                <c:pt idx="44">
                  <c:v>4.905232276763309</c:v>
                </c:pt>
                <c:pt idx="45">
                  <c:v>1.4620929107053158</c:v>
                </c:pt>
                <c:pt idx="46">
                  <c:v>-1.6151628357178818</c:v>
                </c:pt>
                <c:pt idx="47">
                  <c:v>-4.5460651342871614</c:v>
                </c:pt>
                <c:pt idx="48">
                  <c:v>-1.4184260537148732</c:v>
                </c:pt>
                <c:pt idx="49">
                  <c:v>1.1326295785140421</c:v>
                </c:pt>
                <c:pt idx="50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7C-48B4-BBE7-0835C6D57103}"/>
            </c:ext>
          </c:extLst>
        </c:ser>
        <c:ser>
          <c:idx val="1"/>
          <c:order val="1"/>
          <c:tx>
            <c:strRef>
              <c:f>'3. Model'!$O$1</c:f>
              <c:strCache>
                <c:ptCount val="1"/>
                <c:pt idx="0">
                  <c:v>ẑt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'3. Model'!$O$2:$O$52</c:f>
              <c:numCache>
                <c:formatCode>0.00</c:formatCode>
                <c:ptCount val="51"/>
                <c:pt idx="1">
                  <c:v>0</c:v>
                </c:pt>
                <c:pt idx="2">
                  <c:v>0.81830786570877945</c:v>
                </c:pt>
                <c:pt idx="3">
                  <c:v>2.5469263313123096</c:v>
                </c:pt>
                <c:pt idx="4">
                  <c:v>4.1059050913427129</c:v>
                </c:pt>
                <c:pt idx="5">
                  <c:v>4.3766698240048889</c:v>
                </c:pt>
                <c:pt idx="6">
                  <c:v>3.6630615464208436</c:v>
                </c:pt>
                <c:pt idx="7">
                  <c:v>3.1583994820775256</c:v>
                </c:pt>
                <c:pt idx="8">
                  <c:v>2.172888058141468</c:v>
                </c:pt>
                <c:pt idx="9">
                  <c:v>1.5691816073116152</c:v>
                </c:pt>
                <c:pt idx="10">
                  <c:v>0.54587996525752525</c:v>
                </c:pt>
                <c:pt idx="11">
                  <c:v>1.4936516730681855</c:v>
                </c:pt>
                <c:pt idx="12">
                  <c:v>1.4066342374906422</c:v>
                </c:pt>
                <c:pt idx="13">
                  <c:v>0.49516475854758396</c:v>
                </c:pt>
                <c:pt idx="14">
                  <c:v>0.93040023933537053</c:v>
                </c:pt>
                <c:pt idx="15">
                  <c:v>1.2163513768980445</c:v>
                </c:pt>
                <c:pt idx="16">
                  <c:v>0.92806109760593236</c:v>
                </c:pt>
                <c:pt idx="17">
                  <c:v>1.5260581201094803</c:v>
                </c:pt>
                <c:pt idx="18">
                  <c:v>0.80082894512226743</c:v>
                </c:pt>
                <c:pt idx="19">
                  <c:v>0.75601519629562108</c:v>
                </c:pt>
                <c:pt idx="20">
                  <c:v>0.90677236676922079</c:v>
                </c:pt>
                <c:pt idx="21">
                  <c:v>1.6297502108645237</c:v>
                </c:pt>
                <c:pt idx="22">
                  <c:v>0.93585987888279787</c:v>
                </c:pt>
                <c:pt idx="23">
                  <c:v>0.89671031018131697</c:v>
                </c:pt>
                <c:pt idx="24">
                  <c:v>1.047201958304977</c:v>
                </c:pt>
                <c:pt idx="25">
                  <c:v>0.72472666508768846</c:v>
                </c:pt>
                <c:pt idx="26">
                  <c:v>0.27200145201323056</c:v>
                </c:pt>
                <c:pt idx="27">
                  <c:v>0.31109374182765193</c:v>
                </c:pt>
                <c:pt idx="28">
                  <c:v>-3.6038258940451373E-2</c:v>
                </c:pt>
                <c:pt idx="29">
                  <c:v>-0.49129459408567921</c:v>
                </c:pt>
                <c:pt idx="30">
                  <c:v>-0.97272132729573912</c:v>
                </c:pt>
                <c:pt idx="31">
                  <c:v>-1.9805320649682563</c:v>
                </c:pt>
                <c:pt idx="32">
                  <c:v>-1.0390085521055641</c:v>
                </c:pt>
                <c:pt idx="33">
                  <c:v>-1.1331627803199011</c:v>
                </c:pt>
                <c:pt idx="34">
                  <c:v>-2.0492166249697057</c:v>
                </c:pt>
                <c:pt idx="35">
                  <c:v>-1.0942533158760011</c:v>
                </c:pt>
                <c:pt idx="36">
                  <c:v>-0.66939360506679124</c:v>
                </c:pt>
                <c:pt idx="37">
                  <c:v>-0.92753251010468996</c:v>
                </c:pt>
                <c:pt idx="38">
                  <c:v>0.19537088713222328</c:v>
                </c:pt>
                <c:pt idx="39">
                  <c:v>0.65232884806079128</c:v>
                </c:pt>
                <c:pt idx="40">
                  <c:v>0.39410785121090536</c:v>
                </c:pt>
                <c:pt idx="41">
                  <c:v>1.5122186366421222</c:v>
                </c:pt>
                <c:pt idx="42">
                  <c:v>0.92109170930702056</c:v>
                </c:pt>
                <c:pt idx="43">
                  <c:v>0.90268074087602135</c:v>
                </c:pt>
                <c:pt idx="44">
                  <c:v>2.09837996119195</c:v>
                </c:pt>
                <c:pt idx="45">
                  <c:v>2.0537414992097691</c:v>
                </c:pt>
                <c:pt idx="46">
                  <c:v>1.1382821167039405</c:v>
                </c:pt>
                <c:pt idx="47">
                  <c:v>-2.4227683008750667E-3</c:v>
                </c:pt>
                <c:pt idx="48">
                  <c:v>-1.1878865624198518</c:v>
                </c:pt>
                <c:pt idx="49">
                  <c:v>-0.8079307881462412</c:v>
                </c:pt>
                <c:pt idx="50">
                  <c:v>-1.8788922688801613E-3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7C-48B4-BBE7-0835C6D57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788176"/>
        <c:axId val="540794080"/>
      </c:lineChart>
      <c:catAx>
        <c:axId val="540788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794080"/>
        <c:crosses val="autoZero"/>
        <c:auto val="1"/>
        <c:lblAlgn val="ctr"/>
        <c:lblOffset val="100"/>
        <c:noMultiLvlLbl val="0"/>
      </c:catAx>
      <c:valAx>
        <c:axId val="54079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78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224791</xdr:colOff>
      <xdr:row>22</xdr:row>
      <xdr:rowOff>139065</xdr:rowOff>
    </xdr:from>
    <xdr:to>
      <xdr:col>8</xdr:col>
      <xdr:colOff>114300</xdr:colOff>
      <xdr:row>33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43DA20-BCA2-4398-BC8D-8350EE993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32384</xdr:colOff>
      <xdr:row>24</xdr:row>
      <xdr:rowOff>5715</xdr:rowOff>
    </xdr:from>
    <xdr:to>
      <xdr:col>24</xdr:col>
      <xdr:colOff>352425</xdr:colOff>
      <xdr:row>34</xdr:row>
      <xdr:rowOff>120015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8D00AC-1AE3-4B93-AC57-101080904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28576</xdr:colOff>
      <xdr:row>22</xdr:row>
      <xdr:rowOff>161925</xdr:rowOff>
    </xdr:from>
    <xdr:to>
      <xdr:col>14</xdr:col>
      <xdr:colOff>514350</xdr:colOff>
      <xdr:row>33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0CA4797-C1BE-452D-8AAA-708D5A493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28576</xdr:colOff>
      <xdr:row>24</xdr:row>
      <xdr:rowOff>9525</xdr:rowOff>
    </xdr:from>
    <xdr:to>
      <xdr:col>29</xdr:col>
      <xdr:colOff>504825</xdr:colOff>
      <xdr:row>34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C43FB0-D650-438B-B661-BFBB66752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495300</xdr:colOff>
      <xdr:row>34</xdr:row>
      <xdr:rowOff>0</xdr:rowOff>
    </xdr:from>
    <xdr:to>
      <xdr:col>12</xdr:col>
      <xdr:colOff>361950</xdr:colOff>
      <xdr:row>49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F6E17F-5407-48D2-9DAA-3756F5533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142875</xdr:colOff>
      <xdr:row>35</xdr:row>
      <xdr:rowOff>114300</xdr:rowOff>
    </xdr:from>
    <xdr:to>
      <xdr:col>28</xdr:col>
      <xdr:colOff>152400</xdr:colOff>
      <xdr:row>50</xdr:row>
      <xdr:rowOff>142875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9DA6DF4-CBBA-49D3-BAA0-483D4EF92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53340</xdr:colOff>
      <xdr:row>1</xdr:row>
      <xdr:rowOff>7620</xdr:rowOff>
    </xdr:from>
    <xdr:ext cx="48782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C7255F1-76BF-4A7C-9A4F-523450AFA7CC}"/>
                </a:ext>
              </a:extLst>
            </xdr:cNvPr>
            <xdr:cNvSpPr txBox="1"/>
          </xdr:nvSpPr>
          <xdr:spPr>
            <a:xfrm>
              <a:off x="4320540" y="190500"/>
              <a:ext cx="48782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C7255F1-76BF-4A7C-9A4F-523450AFA7CC}"/>
                </a:ext>
              </a:extLst>
            </xdr:cNvPr>
            <xdr:cNvSpPr txBox="1"/>
          </xdr:nvSpPr>
          <xdr:spPr>
            <a:xfrm>
              <a:off x="4320540" y="190500"/>
              <a:ext cx="48782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𝑟_1=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𝜙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0</xdr:colOff>
      <xdr:row>1</xdr:row>
      <xdr:rowOff>0</xdr:rowOff>
    </xdr:from>
    <xdr:ext cx="53021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6DDBB44-89C5-430B-A03D-E7C425835399}"/>
                </a:ext>
              </a:extLst>
            </xdr:cNvPr>
            <xdr:cNvSpPr txBox="1"/>
          </xdr:nvSpPr>
          <xdr:spPr>
            <a:xfrm>
              <a:off x="6705600" y="182880"/>
              <a:ext cx="53021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|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𝜙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|&lt;1</m:t>
                  </m:r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6DDBB44-89C5-430B-A03D-E7C425835399}"/>
                </a:ext>
              </a:extLst>
            </xdr:cNvPr>
            <xdr:cNvSpPr txBox="1"/>
          </xdr:nvSpPr>
          <xdr:spPr>
            <a:xfrm>
              <a:off x="6705600" y="182880"/>
              <a:ext cx="53021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|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𝜙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1 |&lt;1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15240</xdr:colOff>
      <xdr:row>4</xdr:row>
      <xdr:rowOff>0</xdr:rowOff>
    </xdr:from>
    <xdr:ext cx="968791" cy="3629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8AF6B4F8-8EDA-4E5F-90D1-5C5B3AAD8741}"/>
                </a:ext>
              </a:extLst>
            </xdr:cNvPr>
            <xdr:cNvSpPr txBox="1"/>
          </xdr:nvSpPr>
          <xdr:spPr>
            <a:xfrm>
              <a:off x="4495800" y="746760"/>
              <a:ext cx="968791" cy="362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(1−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1−</m:t>
                        </m:r>
                        <m:sSubSup>
                          <m:sSub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8AF6B4F8-8EDA-4E5F-90D1-5C5B3AAD8741}"/>
                </a:ext>
              </a:extLst>
            </xdr:cNvPr>
            <xdr:cNvSpPr txBox="1"/>
          </xdr:nvSpPr>
          <xdr:spPr>
            <a:xfrm>
              <a:off x="4495800" y="746760"/>
              <a:ext cx="968791" cy="362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𝜙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1=(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𝑟_1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(1−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𝑟_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2))/(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𝑟_1^2 )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22860</xdr:colOff>
      <xdr:row>5</xdr:row>
      <xdr:rowOff>121920</xdr:rowOff>
    </xdr:from>
    <xdr:ext cx="799258" cy="3893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DDA97A7D-716E-4E3E-B4A8-13E30E27ADB4}"/>
                </a:ext>
              </a:extLst>
            </xdr:cNvPr>
            <xdr:cNvSpPr txBox="1"/>
          </xdr:nvSpPr>
          <xdr:spPr>
            <a:xfrm>
              <a:off x="4503420" y="1051560"/>
              <a:ext cx="799258" cy="3893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Sup>
                          <m:sSub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1−</m:t>
                        </m:r>
                        <m:sSubSup>
                          <m:sSub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DDA97A7D-716E-4E3E-B4A8-13E30E27ADB4}"/>
                </a:ext>
              </a:extLst>
            </xdr:cNvPr>
            <xdr:cNvSpPr txBox="1"/>
          </xdr:nvSpPr>
          <xdr:spPr>
            <a:xfrm>
              <a:off x="4503420" y="1051560"/>
              <a:ext cx="799258" cy="3893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𝜙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2=(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𝑟_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𝑟_1^2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𝑟_1^2 )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0</xdr:colOff>
      <xdr:row>4</xdr:row>
      <xdr:rowOff>0</xdr:rowOff>
    </xdr:from>
    <xdr:ext cx="78239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4AB86158-3AAD-4D3B-AF24-CE60808A6425}"/>
                </a:ext>
              </a:extLst>
            </xdr:cNvPr>
            <xdr:cNvSpPr txBox="1"/>
          </xdr:nvSpPr>
          <xdr:spPr>
            <a:xfrm>
              <a:off x="6705600" y="548640"/>
              <a:ext cx="78239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&lt;1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4AB86158-3AAD-4D3B-AF24-CE60808A6425}"/>
                </a:ext>
              </a:extLst>
            </xdr:cNvPr>
            <xdr:cNvSpPr txBox="1"/>
          </xdr:nvSpPr>
          <xdr:spPr>
            <a:xfrm>
              <a:off x="6705600" y="548640"/>
              <a:ext cx="78239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𝜙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2+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𝜙_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100" b="0" i="0">
                  <a:latin typeface="Cambria Math" panose="02040503050406030204" pitchFamily="18" charset="0"/>
                </a:rPr>
                <a:t>&lt;1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0</xdr:colOff>
      <xdr:row>5</xdr:row>
      <xdr:rowOff>0</xdr:rowOff>
    </xdr:from>
    <xdr:ext cx="78239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78C97E96-D6BF-49CD-89CD-3E0E6D760FB3}"/>
                </a:ext>
              </a:extLst>
            </xdr:cNvPr>
            <xdr:cNvSpPr txBox="1"/>
          </xdr:nvSpPr>
          <xdr:spPr>
            <a:xfrm>
              <a:off x="6705600" y="731520"/>
              <a:ext cx="78239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&lt;1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78C97E96-D6BF-49CD-89CD-3E0E6D760FB3}"/>
                </a:ext>
              </a:extLst>
            </xdr:cNvPr>
            <xdr:cNvSpPr txBox="1"/>
          </xdr:nvSpPr>
          <xdr:spPr>
            <a:xfrm>
              <a:off x="6705600" y="731520"/>
              <a:ext cx="78239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𝜙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2−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𝜙_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100" b="0" i="0">
                  <a:latin typeface="Cambria Math" panose="02040503050406030204" pitchFamily="18" charset="0"/>
                </a:rPr>
                <a:t>&lt;1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0</xdr:colOff>
      <xdr:row>6</xdr:row>
      <xdr:rowOff>0</xdr:rowOff>
    </xdr:from>
    <xdr:ext cx="53021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32AC11DE-B367-4122-99DF-BE249D6CD25E}"/>
                </a:ext>
              </a:extLst>
            </xdr:cNvPr>
            <xdr:cNvSpPr txBox="1"/>
          </xdr:nvSpPr>
          <xdr:spPr>
            <a:xfrm>
              <a:off x="6705600" y="914400"/>
              <a:ext cx="53021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|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𝜙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|&lt;1</m:t>
                  </m:r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32AC11DE-B367-4122-99DF-BE249D6CD25E}"/>
                </a:ext>
              </a:extLst>
            </xdr:cNvPr>
            <xdr:cNvSpPr txBox="1"/>
          </xdr:nvSpPr>
          <xdr:spPr>
            <a:xfrm>
              <a:off x="6705600" y="914400"/>
              <a:ext cx="53021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|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𝜙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2 |&lt;1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7620</xdr:colOff>
      <xdr:row>9</xdr:row>
      <xdr:rowOff>7620</xdr:rowOff>
    </xdr:from>
    <xdr:ext cx="50828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E0F33B5D-0DAF-4CC4-B107-4E32F15C406B}"/>
                </a:ext>
              </a:extLst>
            </xdr:cNvPr>
            <xdr:cNvSpPr txBox="1"/>
          </xdr:nvSpPr>
          <xdr:spPr>
            <a:xfrm>
              <a:off x="7322820" y="1287780"/>
              <a:ext cx="50828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|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𝜃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|&lt;1</m:t>
                  </m:r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E0F33B5D-0DAF-4CC4-B107-4E32F15C406B}"/>
                </a:ext>
              </a:extLst>
            </xdr:cNvPr>
            <xdr:cNvSpPr txBox="1"/>
          </xdr:nvSpPr>
          <xdr:spPr>
            <a:xfrm>
              <a:off x="7322820" y="1287780"/>
              <a:ext cx="50828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|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𝜃_</a:t>
              </a:r>
              <a:r>
                <a:rPr lang="en-US" sz="1100" b="0" i="0">
                  <a:latin typeface="Cambria Math" panose="02040503050406030204" pitchFamily="18" charset="0"/>
                </a:rPr>
                <a:t>1 |&lt;1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53340</xdr:colOff>
      <xdr:row>8</xdr:row>
      <xdr:rowOff>175260</xdr:rowOff>
    </xdr:from>
    <xdr:ext cx="727187" cy="3599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B7A6045F-04A4-41DE-AA33-DBD6D086C049}"/>
                </a:ext>
              </a:extLst>
            </xdr:cNvPr>
            <xdr:cNvSpPr txBox="1"/>
          </xdr:nvSpPr>
          <xdr:spPr>
            <a:xfrm>
              <a:off x="4533900" y="1653540"/>
              <a:ext cx="727187" cy="3599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𝜃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1+</m:t>
                        </m:r>
                        <m:sSubSup>
                          <m:sSub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𝜃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B7A6045F-04A4-41DE-AA33-DBD6D086C049}"/>
                </a:ext>
              </a:extLst>
            </xdr:cNvPr>
            <xdr:cNvSpPr txBox="1"/>
          </xdr:nvSpPr>
          <xdr:spPr>
            <a:xfrm>
              <a:off x="4533900" y="1653540"/>
              <a:ext cx="727187" cy="3599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𝑟_</a:t>
              </a:r>
              <a:r>
                <a:rPr lang="en-US" sz="1100" b="0" i="0">
                  <a:latin typeface="Cambria Math" panose="02040503050406030204" pitchFamily="18" charset="0"/>
                </a:rPr>
                <a:t>1=〖−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𝜃〗_</a:t>
              </a:r>
              <a:r>
                <a:rPr lang="en-US" sz="1100" b="0" i="0">
                  <a:latin typeface="Cambria Math" panose="02040503050406030204" pitchFamily="18" charset="0"/>
                </a:rPr>
                <a:t>1/(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𝜃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_1^2 )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45720</xdr:colOff>
      <xdr:row>12</xdr:row>
      <xdr:rowOff>15240</xdr:rowOff>
    </xdr:from>
    <xdr:ext cx="1044388" cy="3695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E5427460-AC19-4AB7-AB54-60E08D74EA26}"/>
                </a:ext>
              </a:extLst>
            </xdr:cNvPr>
            <xdr:cNvSpPr txBox="1"/>
          </xdr:nvSpPr>
          <xdr:spPr>
            <a:xfrm>
              <a:off x="4526280" y="2225040"/>
              <a:ext cx="1044388" cy="3695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𝜃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(1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𝜃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1+</m:t>
                        </m:r>
                        <m:sSubSup>
                          <m:sSub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𝜃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sSubSup>
                          <m:sSub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𝜃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E5427460-AC19-4AB7-AB54-60E08D74EA26}"/>
                </a:ext>
              </a:extLst>
            </xdr:cNvPr>
            <xdr:cNvSpPr txBox="1"/>
          </xdr:nvSpPr>
          <xdr:spPr>
            <a:xfrm>
              <a:off x="4526280" y="2225040"/>
              <a:ext cx="1044388" cy="3695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𝑟_</a:t>
              </a:r>
              <a:r>
                <a:rPr lang="en-US" sz="1100" b="0" i="0">
                  <a:latin typeface="Cambria Math" panose="02040503050406030204" pitchFamily="18" charset="0"/>
                </a:rPr>
                <a:t>1=(〖−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𝜃〗_</a:t>
              </a:r>
              <a:r>
                <a:rPr lang="en-US" sz="1100" b="0" i="0">
                  <a:latin typeface="Cambria Math" panose="02040503050406030204" pitchFamily="18" charset="0"/>
                </a:rPr>
                <a:t>1 (1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〖−𝜃〗_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2))/(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𝜃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_1^2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+𝜃_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60960</xdr:colOff>
      <xdr:row>13</xdr:row>
      <xdr:rowOff>160020</xdr:rowOff>
    </xdr:from>
    <xdr:ext cx="1047659" cy="3666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36D66244-13C6-4849-84F8-377ACD86BAE7}"/>
                </a:ext>
              </a:extLst>
            </xdr:cNvPr>
            <xdr:cNvSpPr txBox="1"/>
          </xdr:nvSpPr>
          <xdr:spPr>
            <a:xfrm>
              <a:off x="4541520" y="2552700"/>
              <a:ext cx="1047659" cy="3666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𝜃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1+</m:t>
                        </m:r>
                        <m:sSubSup>
                          <m:sSub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𝜃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sSubSup>
                          <m:sSub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𝜃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36D66244-13C6-4849-84F8-377ACD86BAE7}"/>
                </a:ext>
              </a:extLst>
            </xdr:cNvPr>
            <xdr:cNvSpPr txBox="1"/>
          </xdr:nvSpPr>
          <xdr:spPr>
            <a:xfrm>
              <a:off x="4541520" y="2552700"/>
              <a:ext cx="1047659" cy="3666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𝑟_</a:t>
              </a:r>
              <a:r>
                <a:rPr lang="en-US" sz="1100" b="0" i="0">
                  <a:latin typeface="Cambria Math" panose="02040503050406030204" pitchFamily="18" charset="0"/>
                </a:rPr>
                <a:t>2=〖−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𝜃〗_</a:t>
              </a:r>
              <a:r>
                <a:rPr lang="en-US" sz="1100" b="0" i="0">
                  <a:latin typeface="Cambria Math" panose="02040503050406030204" pitchFamily="18" charset="0"/>
                </a:rPr>
                <a:t>1/(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𝜃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_1^2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+𝜃_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0</xdr:colOff>
      <xdr:row>12</xdr:row>
      <xdr:rowOff>0</xdr:rowOff>
    </xdr:from>
    <xdr:ext cx="7385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CF404DC-E456-4F15-B432-61F159B6BB47}"/>
                </a:ext>
              </a:extLst>
            </xdr:cNvPr>
            <xdr:cNvSpPr txBox="1"/>
          </xdr:nvSpPr>
          <xdr:spPr>
            <a:xfrm>
              <a:off x="7437120" y="1645920"/>
              <a:ext cx="7385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𝜃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𝜃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&lt;1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CF404DC-E456-4F15-B432-61F159B6BB47}"/>
                </a:ext>
              </a:extLst>
            </xdr:cNvPr>
            <xdr:cNvSpPr txBox="1"/>
          </xdr:nvSpPr>
          <xdr:spPr>
            <a:xfrm>
              <a:off x="7437120" y="1645920"/>
              <a:ext cx="7385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𝜃_</a:t>
              </a:r>
              <a:r>
                <a:rPr lang="en-US" sz="1100" b="0" i="0">
                  <a:latin typeface="Cambria Math" panose="02040503050406030204" pitchFamily="18" charset="0"/>
                </a:rPr>
                <a:t>2+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100" b="0" i="0">
                  <a:latin typeface="Cambria Math" panose="02040503050406030204" pitchFamily="18" charset="0"/>
                </a:rPr>
                <a:t>&lt;1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0</xdr:colOff>
      <xdr:row>13</xdr:row>
      <xdr:rowOff>0</xdr:rowOff>
    </xdr:from>
    <xdr:ext cx="7385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FACD319A-8090-48C0-87E5-2D42E5E85A70}"/>
                </a:ext>
              </a:extLst>
            </xdr:cNvPr>
            <xdr:cNvSpPr txBox="1"/>
          </xdr:nvSpPr>
          <xdr:spPr>
            <a:xfrm>
              <a:off x="7437120" y="1828800"/>
              <a:ext cx="7385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𝜃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𝜃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&lt;1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FACD319A-8090-48C0-87E5-2D42E5E85A70}"/>
                </a:ext>
              </a:extLst>
            </xdr:cNvPr>
            <xdr:cNvSpPr txBox="1"/>
          </xdr:nvSpPr>
          <xdr:spPr>
            <a:xfrm>
              <a:off x="7437120" y="1828800"/>
              <a:ext cx="7385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2−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100" b="0" i="0">
                  <a:latin typeface="Cambria Math" panose="02040503050406030204" pitchFamily="18" charset="0"/>
                </a:rPr>
                <a:t>&lt;1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0</xdr:colOff>
      <xdr:row>14</xdr:row>
      <xdr:rowOff>0</xdr:rowOff>
    </xdr:from>
    <xdr:ext cx="53021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AA9462BB-4CF1-4FE1-8DE9-E1EBCECD562D}"/>
                </a:ext>
              </a:extLst>
            </xdr:cNvPr>
            <xdr:cNvSpPr txBox="1"/>
          </xdr:nvSpPr>
          <xdr:spPr>
            <a:xfrm>
              <a:off x="7437120" y="2011680"/>
              <a:ext cx="53021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|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𝜃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|&lt;1</m:t>
                  </m:r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AA9462BB-4CF1-4FE1-8DE9-E1EBCECD562D}"/>
                </a:ext>
              </a:extLst>
            </xdr:cNvPr>
            <xdr:cNvSpPr txBox="1"/>
          </xdr:nvSpPr>
          <xdr:spPr>
            <a:xfrm>
              <a:off x="7437120" y="2011680"/>
              <a:ext cx="53021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|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2 |&lt;1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0</xdr:colOff>
      <xdr:row>17</xdr:row>
      <xdr:rowOff>0</xdr:rowOff>
    </xdr:from>
    <xdr:ext cx="53021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BCC5C726-2F5E-4777-9FFB-7555AFF0FB55}"/>
                </a:ext>
              </a:extLst>
            </xdr:cNvPr>
            <xdr:cNvSpPr txBox="1"/>
          </xdr:nvSpPr>
          <xdr:spPr>
            <a:xfrm>
              <a:off x="7437120" y="2377440"/>
              <a:ext cx="53021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|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𝜙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|&lt;1</m:t>
                  </m:r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BCC5C726-2F5E-4777-9FFB-7555AFF0FB55}"/>
                </a:ext>
              </a:extLst>
            </xdr:cNvPr>
            <xdr:cNvSpPr txBox="1"/>
          </xdr:nvSpPr>
          <xdr:spPr>
            <a:xfrm>
              <a:off x="7437120" y="2377440"/>
              <a:ext cx="53021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|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𝜙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1 |&lt;1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0</xdr:colOff>
      <xdr:row>18</xdr:row>
      <xdr:rowOff>0</xdr:rowOff>
    </xdr:from>
    <xdr:ext cx="50828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C80B828B-E68C-4441-BE09-8E4517F38299}"/>
                </a:ext>
              </a:extLst>
            </xdr:cNvPr>
            <xdr:cNvSpPr txBox="1"/>
          </xdr:nvSpPr>
          <xdr:spPr>
            <a:xfrm>
              <a:off x="7437120" y="2560320"/>
              <a:ext cx="50828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|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𝜃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|&lt;1</m:t>
                  </m:r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C80B828B-E68C-4441-BE09-8E4517F38299}"/>
                </a:ext>
              </a:extLst>
            </xdr:cNvPr>
            <xdr:cNvSpPr txBox="1"/>
          </xdr:nvSpPr>
          <xdr:spPr>
            <a:xfrm>
              <a:off x="7437120" y="2560320"/>
              <a:ext cx="50828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|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𝜃_</a:t>
              </a:r>
              <a:r>
                <a:rPr lang="en-US" sz="1100" b="0" i="0">
                  <a:latin typeface="Cambria Math" panose="02040503050406030204" pitchFamily="18" charset="0"/>
                </a:rPr>
                <a:t>1 |&lt;1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30480</xdr:colOff>
      <xdr:row>17</xdr:row>
      <xdr:rowOff>0</xdr:rowOff>
    </xdr:from>
    <xdr:ext cx="1508555" cy="3674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1F4CD999-C0AE-4097-BBD1-2010D2373AC4}"/>
                </a:ext>
              </a:extLst>
            </xdr:cNvPr>
            <xdr:cNvSpPr txBox="1"/>
          </xdr:nvSpPr>
          <xdr:spPr>
            <a:xfrm>
              <a:off x="4511040" y="3124200"/>
              <a:ext cx="1508555" cy="3674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(1−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𝜙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𝜃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)(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𝜙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𝜃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1+</m:t>
                        </m:r>
                        <m:sSubSup>
                          <m:sSub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𝜃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−2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𝜙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𝜃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1F4CD999-C0AE-4097-BBD1-2010D2373AC4}"/>
                </a:ext>
              </a:extLst>
            </xdr:cNvPr>
            <xdr:cNvSpPr txBox="1"/>
          </xdr:nvSpPr>
          <xdr:spPr>
            <a:xfrm>
              <a:off x="4511040" y="3124200"/>
              <a:ext cx="1508555" cy="3674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𝑟_</a:t>
              </a:r>
              <a:r>
                <a:rPr lang="en-US" sz="1100" b="0" i="0">
                  <a:latin typeface="Cambria Math" panose="02040503050406030204" pitchFamily="18" charset="0"/>
                </a:rPr>
                <a:t>1=(〖(1−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US" sz="1100" b="0" i="0">
                  <a:latin typeface="Cambria Math" panose="02040503050406030204" pitchFamily="18" charset="0"/>
                </a:rPr>
                <a:t>1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𝜃〗_</a:t>
              </a:r>
              <a:r>
                <a:rPr lang="en-US" sz="1100" b="0" i="0">
                  <a:latin typeface="Cambria Math" panose="02040503050406030204" pitchFamily="18" charset="0"/>
                </a:rPr>
                <a:t>1)(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𝜙_1 〖−𝜃〗_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1))/(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𝜃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_1^2−2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𝜙_1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𝜃)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68580</xdr:colOff>
      <xdr:row>19</xdr:row>
      <xdr:rowOff>15240</xdr:rowOff>
    </xdr:from>
    <xdr:ext cx="60548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B3D514D7-D442-4F67-9BAA-9E4937920725}"/>
                </a:ext>
              </a:extLst>
            </xdr:cNvPr>
            <xdr:cNvSpPr txBox="1"/>
          </xdr:nvSpPr>
          <xdr:spPr>
            <a:xfrm>
              <a:off x="4549140" y="3505200"/>
              <a:ext cx="60548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B3D514D7-D442-4F67-9BAA-9E4937920725}"/>
                </a:ext>
              </a:extLst>
            </xdr:cNvPr>
            <xdr:cNvSpPr txBox="1"/>
          </xdr:nvSpPr>
          <xdr:spPr>
            <a:xfrm>
              <a:off x="4549140" y="3505200"/>
              <a:ext cx="60548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𝑟_</a:t>
              </a:r>
              <a:r>
                <a:rPr lang="en-US" sz="1100" b="0" i="0">
                  <a:latin typeface="Cambria Math" panose="02040503050406030204" pitchFamily="18" charset="0"/>
                </a:rPr>
                <a:t>2=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𝜙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_1</a:t>
              </a:r>
              <a:endParaRPr lang="en-US" sz="1100"/>
            </a:p>
          </xdr:txBody>
        </xdr:sp>
      </mc:Fallback>
    </mc:AlternateContent>
    <xdr:clientData/>
  </xdr:oneCellAnchor>
  <xdr:twoCellAnchor editAs="oneCell">
    <xdr:from>
      <xdr:col>14</xdr:col>
      <xdr:colOff>480059</xdr:colOff>
      <xdr:row>0</xdr:row>
      <xdr:rowOff>0</xdr:rowOff>
    </xdr:from>
    <xdr:to>
      <xdr:col>19</xdr:col>
      <xdr:colOff>343936</xdr:colOff>
      <xdr:row>14</xdr:row>
      <xdr:rowOff>144588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D42F4CF7-2A38-4C26-9E49-54664BD7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0019" y="0"/>
          <a:ext cx="2911877" cy="2720148"/>
        </a:xfrm>
        <a:prstGeom prst="rect">
          <a:avLst/>
        </a:prstGeom>
      </xdr:spPr>
    </xdr:pic>
    <xdr:clientData/>
  </xdr:twoCellAnchor>
  <xdr:twoCellAnchor editAs="oneCell">
    <xdr:from>
      <xdr:col>15</xdr:col>
      <xdr:colOff>235107</xdr:colOff>
      <xdr:row>6</xdr:row>
      <xdr:rowOff>7620</xdr:rowOff>
    </xdr:from>
    <xdr:to>
      <xdr:col>20</xdr:col>
      <xdr:colOff>121039</xdr:colOff>
      <xdr:row>20</xdr:row>
      <xdr:rowOff>159205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88E3DAC-2DDD-4E1D-AD57-C60E87DEE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2467" y="1104900"/>
          <a:ext cx="2933932" cy="2711905"/>
        </a:xfrm>
        <a:prstGeom prst="rect">
          <a:avLst/>
        </a:prstGeom>
      </xdr:spPr>
    </xdr:pic>
    <xdr:clientData/>
  </xdr:twoCellAnchor>
  <xdr:twoCellAnchor editAs="oneCell">
    <xdr:from>
      <xdr:col>16</xdr:col>
      <xdr:colOff>373380</xdr:colOff>
      <xdr:row>10</xdr:row>
      <xdr:rowOff>87828</xdr:rowOff>
    </xdr:from>
    <xdr:to>
      <xdr:col>21</xdr:col>
      <xdr:colOff>502053</xdr:colOff>
      <xdr:row>26</xdr:row>
      <xdr:rowOff>142061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96DBA8E-A3C9-46B0-A361-CA32D877C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40340" y="1916628"/>
          <a:ext cx="3176673" cy="29803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30480</xdr:colOff>
      <xdr:row>1</xdr:row>
      <xdr:rowOff>76200</xdr:rowOff>
    </xdr:from>
    <xdr:to>
      <xdr:col>24</xdr:col>
      <xdr:colOff>335280</xdr:colOff>
      <xdr:row>15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A49325-FD42-4DE5-A806-C4428E61F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16</xdr:row>
      <xdr:rowOff>76200</xdr:rowOff>
    </xdr:from>
    <xdr:to>
      <xdr:col>24</xdr:col>
      <xdr:colOff>304800</xdr:colOff>
      <xdr:row>30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29A98C-7C06-475F-B555-6577FC0FE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31</xdr:row>
      <xdr:rowOff>0</xdr:rowOff>
    </xdr:from>
    <xdr:to>
      <xdr:col>24</xdr:col>
      <xdr:colOff>304800</xdr:colOff>
      <xdr:row>46</xdr:row>
      <xdr:rowOff>32385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F94C62-20C9-4962-A66B-7ED5E1D3F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259080</xdr:colOff>
      <xdr:row>1</xdr:row>
      <xdr:rowOff>22860</xdr:rowOff>
    </xdr:from>
    <xdr:to>
      <xdr:col>11</xdr:col>
      <xdr:colOff>563880</xdr:colOff>
      <xdr:row>15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CCB7C6-3E54-4951-9019-9AC222B9B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274320</xdr:colOff>
      <xdr:row>16</xdr:row>
      <xdr:rowOff>7620</xdr:rowOff>
    </xdr:from>
    <xdr:to>
      <xdr:col>11</xdr:col>
      <xdr:colOff>563880</xdr:colOff>
      <xdr:row>30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82EAAF-C99E-43FE-AFDA-4E6EA7FCE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3"/>
  <sheetViews>
    <sheetView zoomScale="80" zoomScaleNormal="80" workbookViewId="0">
      <selection activeCell="Q5" sqref="Q5"/>
    </sheetView>
  </sheetViews>
  <sheetFormatPr defaultRowHeight="15"/>
  <cols>
    <col min="1" max="1" width="7.28515625" customWidth="1"/>
    <col min="5" max="5" width="10.85546875" customWidth="1"/>
    <col min="9" max="9" width="4.42578125" customWidth="1"/>
    <col min="14" max="14" width="6.28515625" customWidth="1"/>
    <col min="15" max="15" width="10.5703125" customWidth="1"/>
    <col min="16" max="16" width="6" customWidth="1"/>
    <col min="17" max="17" width="8.85546875" customWidth="1"/>
    <col min="20" max="20" width="10.85546875" customWidth="1"/>
    <col min="24" max="25" width="5.7109375" customWidth="1"/>
    <col min="26" max="26" width="10.7109375" customWidth="1"/>
  </cols>
  <sheetData>
    <row r="1" spans="1:53" ht="18">
      <c r="A1" s="70" t="s">
        <v>60</v>
      </c>
      <c r="B1" s="67" t="s">
        <v>59</v>
      </c>
      <c r="C1" s="67" t="s">
        <v>55</v>
      </c>
      <c r="D1" s="67" t="s">
        <v>54</v>
      </c>
      <c r="E1" s="1" t="s">
        <v>58</v>
      </c>
      <c r="F1" s="69" t="s">
        <v>51</v>
      </c>
      <c r="G1" s="69" t="s">
        <v>50</v>
      </c>
      <c r="H1" s="64" t="s">
        <v>49</v>
      </c>
      <c r="I1" s="64"/>
      <c r="J1" s="1" t="s">
        <v>0</v>
      </c>
      <c r="K1" s="69" t="s">
        <v>51</v>
      </c>
      <c r="L1" s="69" t="s">
        <v>50</v>
      </c>
      <c r="M1" s="64" t="s">
        <v>49</v>
      </c>
      <c r="N1" s="68"/>
      <c r="O1" s="68" t="s">
        <v>57</v>
      </c>
      <c r="P1" s="68"/>
      <c r="Q1" s="67" t="s">
        <v>56</v>
      </c>
      <c r="R1" s="67" t="s">
        <v>55</v>
      </c>
      <c r="S1" s="67" t="s">
        <v>54</v>
      </c>
      <c r="T1" s="66" t="s">
        <v>53</v>
      </c>
      <c r="U1" s="65" t="s">
        <v>51</v>
      </c>
      <c r="V1" s="65" t="s">
        <v>50</v>
      </c>
      <c r="W1" s="64" t="s">
        <v>49</v>
      </c>
      <c r="Y1" s="59"/>
      <c r="Z1" s="66" t="s">
        <v>52</v>
      </c>
      <c r="AA1" s="65" t="s">
        <v>51</v>
      </c>
      <c r="AB1" s="65" t="s">
        <v>50</v>
      </c>
      <c r="AC1" s="64" t="s">
        <v>49</v>
      </c>
      <c r="AE1" s="46" t="s">
        <v>48</v>
      </c>
      <c r="AF1" s="46" t="s">
        <v>47</v>
      </c>
      <c r="AG1" s="46" t="s">
        <v>46</v>
      </c>
      <c r="AH1" s="46" t="s">
        <v>45</v>
      </c>
      <c r="AI1" s="46" t="s">
        <v>44</v>
      </c>
      <c r="AJ1" s="46" t="s">
        <v>43</v>
      </c>
      <c r="AK1" s="46" t="s">
        <v>42</v>
      </c>
      <c r="AL1" s="46" t="s">
        <v>41</v>
      </c>
      <c r="AM1" s="46" t="s">
        <v>40</v>
      </c>
      <c r="AN1" s="46" t="s">
        <v>39</v>
      </c>
      <c r="AO1" s="46" t="s">
        <v>38</v>
      </c>
      <c r="AP1" s="46" t="s">
        <v>37</v>
      </c>
      <c r="AQ1" s="46" t="s">
        <v>36</v>
      </c>
      <c r="AR1" s="46" t="s">
        <v>35</v>
      </c>
      <c r="AS1" s="46" t="s">
        <v>34</v>
      </c>
      <c r="AT1" s="46" t="s">
        <v>33</v>
      </c>
      <c r="AU1" s="46" t="s">
        <v>32</v>
      </c>
      <c r="AV1" s="46" t="s">
        <v>31</v>
      </c>
      <c r="AW1" s="46" t="s">
        <v>30</v>
      </c>
      <c r="AX1" s="46" t="s">
        <v>29</v>
      </c>
      <c r="AY1" s="46" t="s">
        <v>28</v>
      </c>
      <c r="AZ1" s="46" t="s">
        <v>27</v>
      </c>
      <c r="BA1" s="46" t="s">
        <v>26</v>
      </c>
    </row>
    <row r="2" spans="1:53">
      <c r="A2" s="63">
        <v>0</v>
      </c>
      <c r="B2" s="61"/>
      <c r="C2" s="61"/>
      <c r="D2" s="60">
        <f>DEVSQ(C3:C52)</f>
        <v>702.96013227618414</v>
      </c>
      <c r="E2" s="2"/>
      <c r="F2" s="62"/>
      <c r="G2" s="62"/>
      <c r="H2" s="54"/>
      <c r="I2" s="54"/>
      <c r="J2" s="2"/>
      <c r="K2" s="62"/>
      <c r="L2" s="62"/>
      <c r="M2" s="54"/>
      <c r="N2" s="59"/>
      <c r="O2" s="59"/>
      <c r="P2" s="59"/>
      <c r="Q2" s="61"/>
      <c r="R2" s="61"/>
      <c r="S2" s="60">
        <f>DEVSQ(R4:R53)</f>
        <v>414.1346911282252</v>
      </c>
      <c r="T2" s="56"/>
      <c r="U2" s="55"/>
      <c r="V2" s="55"/>
      <c r="W2" s="54"/>
      <c r="Y2" s="59"/>
      <c r="Z2" s="56"/>
      <c r="AA2" s="55"/>
      <c r="AB2" s="55"/>
      <c r="AC2" s="5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</row>
    <row r="3" spans="1:53">
      <c r="A3" s="36">
        <v>1</v>
      </c>
      <c r="B3" s="20">
        <v>1.2999999999999998</v>
      </c>
      <c r="C3" s="32">
        <f t="shared" ref="C3:C34" si="0">B3-AVERAGE($B$3:$B$52)</f>
        <v>-0.47954271673091786</v>
      </c>
      <c r="D3" s="35">
        <f>SUMPRODUCT($C$3:INDEX($C$3:$C$52,ROWS(C4:$C$52)),C4:$C$52)</f>
        <v>497.75440082378066</v>
      </c>
      <c r="E3" s="51">
        <f t="shared" ref="E3:E22" si="1">D3/$D$2</f>
        <v>0.70808340042279849</v>
      </c>
      <c r="F3" s="50">
        <f t="shared" ref="F3:F22" si="2">-1.96*H3</f>
        <v>-0.39227079844758717</v>
      </c>
      <c r="G3" s="50">
        <f t="shared" ref="G3:G22" si="3">1.96*H3</f>
        <v>0.39227079844758717</v>
      </c>
      <c r="H3" s="37">
        <f>SQRT((1/COUNT($C$3:$C$52))*(1+2*SUMSQ($E$3:E3)))</f>
        <v>0.20013816247325877</v>
      </c>
      <c r="I3" s="37"/>
      <c r="J3" s="3">
        <f t="shared" ref="J3:J22" si="4">AG3</f>
        <v>0.70808340042279849</v>
      </c>
      <c r="K3" s="3">
        <f t="shared" ref="K3:K22" si="5">-1.96*M3</f>
        <v>-0.27718585822512665</v>
      </c>
      <c r="L3" s="3">
        <f t="shared" ref="L3:L22" si="6">1.96*M3</f>
        <v>0.27718585822512665</v>
      </c>
      <c r="M3" s="39">
        <f t="shared" ref="M3:M22" si="7">1/SQRT(COUNT($C$3:$C$52))</f>
        <v>0.1414213562373095</v>
      </c>
      <c r="N3" s="37"/>
      <c r="O3" s="58">
        <v>1</v>
      </c>
      <c r="P3" s="57"/>
      <c r="Q3" s="33"/>
      <c r="R3" s="32"/>
      <c r="S3" s="35"/>
      <c r="T3" s="49"/>
      <c r="U3" s="47"/>
      <c r="V3" s="47"/>
      <c r="W3" s="37"/>
      <c r="Z3" s="56"/>
      <c r="AA3" s="55"/>
      <c r="AB3" s="55"/>
      <c r="AC3" s="54"/>
      <c r="AE3" s="44">
        <v>1</v>
      </c>
      <c r="AF3" s="41">
        <f t="shared" ref="AF3:AF22" si="8">E3</f>
        <v>0.70808340042279849</v>
      </c>
      <c r="AG3" s="37">
        <f>AH3</f>
        <v>0.70808340042279849</v>
      </c>
      <c r="AH3" s="38">
        <f>AF3</f>
        <v>0.70808340042279849</v>
      </c>
      <c r="AI3" s="37"/>
      <c r="AJ3" s="37"/>
      <c r="AK3" s="37"/>
      <c r="AL3" s="37"/>
      <c r="AM3" s="40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43"/>
      <c r="AZ3" s="43"/>
      <c r="BA3" s="43"/>
    </row>
    <row r="4" spans="1:53">
      <c r="A4" s="36">
        <v>2</v>
      </c>
      <c r="B4" s="20">
        <v>8.6</v>
      </c>
      <c r="C4" s="32">
        <f t="shared" si="0"/>
        <v>6.8204572832690822</v>
      </c>
      <c r="D4" s="35">
        <f>SUMPRODUCT($C$3:INDEX($C$3:$C$52,ROWS(C5:$C$52)),C5:$C$52)</f>
        <v>355.805149312254</v>
      </c>
      <c r="E4" s="51">
        <f t="shared" si="1"/>
        <v>0.50615267207282055</v>
      </c>
      <c r="F4" s="50">
        <f t="shared" si="2"/>
        <v>-0.43959485952890737</v>
      </c>
      <c r="G4" s="50">
        <f t="shared" si="3"/>
        <v>0.43959485952890737</v>
      </c>
      <c r="H4" s="37">
        <f>SQRT((1/COUNT($C$3:$C$52))*(1+2*SUMSQ($E$3:E4)))</f>
        <v>0.22428309159638132</v>
      </c>
      <c r="I4" s="37"/>
      <c r="J4" s="3">
        <f t="shared" si="4"/>
        <v>9.5675869983917663E-3</v>
      </c>
      <c r="K4" s="3">
        <f t="shared" si="5"/>
        <v>-0.27718585822512665</v>
      </c>
      <c r="L4" s="3">
        <f t="shared" si="6"/>
        <v>0.27718585822512665</v>
      </c>
      <c r="M4" s="39">
        <f t="shared" si="7"/>
        <v>0.1414213562373095</v>
      </c>
      <c r="N4" s="37"/>
      <c r="O4" s="53"/>
      <c r="P4" s="34">
        <v>1</v>
      </c>
      <c r="Q4" s="33">
        <f t="shared" ref="Q4:Q35" si="9">B4-B3</f>
        <v>7.3</v>
      </c>
      <c r="R4" s="32">
        <f t="shared" ref="R4:R35" si="10">Q4-AVERAGE($Q$4:$Q$52)</f>
        <v>7.2855102040816329</v>
      </c>
      <c r="S4" s="35">
        <f>SUMPRODUCT($R$4:INDEX($R$4:$R$53,ROWS($R5:R$53)),$R5:R$53)</f>
        <v>-61.192524007273526</v>
      </c>
      <c r="T4" s="49">
        <f t="shared" ref="T4:T23" si="11">S4/$S$2</f>
        <v>-0.14775995664735794</v>
      </c>
      <c r="U4" s="47">
        <f t="shared" ref="U4:U23" si="12">-1.96*W4</f>
        <v>-0.28604792457003719</v>
      </c>
      <c r="V4" s="47">
        <f t="shared" ref="V4:V23" si="13">1.96*W4</f>
        <v>0.28604792457003719</v>
      </c>
      <c r="W4" s="37">
        <f>SQRT((1/COUNT($R$4:$R$52))*(1+2*SUMSQ($T$4:T4)))</f>
        <v>0.14594281865818223</v>
      </c>
      <c r="Z4" s="48">
        <f t="shared" ref="Z4:Z23" si="14">AG27</f>
        <v>-0.14775995664735794</v>
      </c>
      <c r="AA4" s="47">
        <f t="shared" ref="AA4:AA23" si="15">-1.96*AC4</f>
        <v>-0.27999999999999997</v>
      </c>
      <c r="AB4" s="47">
        <f t="shared" ref="AB4:AB23" si="16">1.96*AC4</f>
        <v>0.27999999999999997</v>
      </c>
      <c r="AC4" s="39">
        <f t="shared" ref="AC4:AC23" si="17">1/SQRT(COUNT($R$4:$R$52))</f>
        <v>0.14285714285714285</v>
      </c>
      <c r="AE4" s="44">
        <v>2</v>
      </c>
      <c r="AF4" s="41">
        <f t="shared" si="8"/>
        <v>0.50615267207282055</v>
      </c>
      <c r="AG4" s="37">
        <f>AI4</f>
        <v>9.5675869983917663E-3</v>
      </c>
      <c r="AH4" s="37">
        <f>AH3-(AH3*AI4)</f>
        <v>0.70130875088713629</v>
      </c>
      <c r="AI4" s="38">
        <f>(AF4-(AH3*AF3))/(1-(AH3*AF3))</f>
        <v>9.5675869983917663E-3</v>
      </c>
      <c r="AJ4" s="37"/>
      <c r="AK4" s="37"/>
      <c r="AL4" s="37"/>
      <c r="AM4" s="40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43"/>
      <c r="AZ4" s="43"/>
      <c r="BA4" s="43"/>
    </row>
    <row r="5" spans="1:53">
      <c r="A5" s="36">
        <v>3</v>
      </c>
      <c r="B5" s="20">
        <v>12.132</v>
      </c>
      <c r="C5" s="32">
        <f t="shared" si="0"/>
        <v>10.352457283269082</v>
      </c>
      <c r="D5" s="35">
        <f>SUMPRODUCT($C$3:INDEX($C$3:$C$52,ROWS(C6:$C$52)),C6:$C$52)</f>
        <v>297.07657162384561</v>
      </c>
      <c r="E5" s="51">
        <f t="shared" si="1"/>
        <v>0.42260799437076468</v>
      </c>
      <c r="F5" s="50">
        <f t="shared" si="2"/>
        <v>-0.46977404074948181</v>
      </c>
      <c r="G5" s="50">
        <f t="shared" si="3"/>
        <v>0.46977404074948181</v>
      </c>
      <c r="H5" s="37">
        <f>SQRT((1/COUNT($C$3:$C$52))*(1+2*SUMSQ($E$3:E5)))</f>
        <v>0.2396806330354499</v>
      </c>
      <c r="I5" s="37"/>
      <c r="J5" s="3">
        <f t="shared" si="4"/>
        <v>0.12207668194649815</v>
      </c>
      <c r="K5" s="3">
        <f t="shared" si="5"/>
        <v>-0.27718585822512665</v>
      </c>
      <c r="L5" s="3">
        <f t="shared" si="6"/>
        <v>0.27718585822512665</v>
      </c>
      <c r="M5" s="39">
        <f t="shared" si="7"/>
        <v>0.1414213562373095</v>
      </c>
      <c r="N5" s="37"/>
      <c r="O5" s="52"/>
      <c r="P5" s="34">
        <v>2</v>
      </c>
      <c r="Q5" s="33">
        <f t="shared" si="9"/>
        <v>3.532</v>
      </c>
      <c r="R5" s="32">
        <f t="shared" si="10"/>
        <v>3.5175102040816326</v>
      </c>
      <c r="S5" s="35">
        <f>SUMPRODUCT($R$4:INDEX($R$4:$R$53,ROWS($R6:R$53)),$R6:R$53)</f>
        <v>-85.878348249684862</v>
      </c>
      <c r="T5" s="49">
        <f t="shared" si="11"/>
        <v>-0.20736815845039902</v>
      </c>
      <c r="U5" s="47">
        <f t="shared" si="12"/>
        <v>-0.29760050181919739</v>
      </c>
      <c r="V5" s="47">
        <f t="shared" si="13"/>
        <v>0.29760050181919739</v>
      </c>
      <c r="W5" s="37">
        <f>SQRT((1/COUNT($R$4:$R$52))*(1+2*SUMSQ($T$4:T5)))</f>
        <v>0.1518369907240803</v>
      </c>
      <c r="Z5" s="48">
        <f t="shared" si="14"/>
        <v>-0.2343170075874963</v>
      </c>
      <c r="AA5" s="47">
        <f t="shared" si="15"/>
        <v>-0.27999999999999997</v>
      </c>
      <c r="AB5" s="47">
        <f t="shared" si="16"/>
        <v>0.27999999999999997</v>
      </c>
      <c r="AC5" s="39">
        <f t="shared" si="17"/>
        <v>0.14285714285714285</v>
      </c>
      <c r="AE5" s="44">
        <v>3</v>
      </c>
      <c r="AF5" s="41">
        <f t="shared" si="8"/>
        <v>0.42260799437076468</v>
      </c>
      <c r="AG5" s="37">
        <f>AJ5</f>
        <v>0.12207668194649815</v>
      </c>
      <c r="AH5" s="37">
        <f>AH4-(AI4*AJ5)</f>
        <v>0.70014077161213817</v>
      </c>
      <c r="AI5" s="37">
        <f>AI4-(AH4*AJ5)</f>
        <v>-7.6045858329953073E-2</v>
      </c>
      <c r="AJ5" s="38">
        <f>(AF5-(AH4*AF4+AI4*AF3))/(1-(AH4*AF3+AI4*AF4))</f>
        <v>0.12207668194649815</v>
      </c>
      <c r="AK5" s="37"/>
      <c r="AL5" s="37"/>
      <c r="AM5" s="40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43"/>
      <c r="AZ5" s="43"/>
      <c r="BA5" s="43"/>
    </row>
    <row r="6" spans="1:53">
      <c r="A6" s="36">
        <v>4</v>
      </c>
      <c r="B6" s="20">
        <v>10.9696</v>
      </c>
      <c r="C6" s="32">
        <f t="shared" si="0"/>
        <v>9.1900572832690823</v>
      </c>
      <c r="D6" s="35">
        <f>SUMPRODUCT($C$3:INDEX($C$3:$C$52,ROWS(C7:$C$52)),C7:$C$52)</f>
        <v>153.66765064491162</v>
      </c>
      <c r="E6" s="51">
        <f t="shared" si="1"/>
        <v>0.21860080478153993</v>
      </c>
      <c r="F6" s="50">
        <f t="shared" si="2"/>
        <v>-0.47752558589712119</v>
      </c>
      <c r="G6" s="50">
        <f t="shared" si="3"/>
        <v>0.47752558589712119</v>
      </c>
      <c r="H6" s="37">
        <f>SQRT((1/COUNT($C$3:$C$52))*(1+2*SUMSQ($E$3:E6)))</f>
        <v>0.24363550300873529</v>
      </c>
      <c r="I6" s="37"/>
      <c r="J6" s="3">
        <f t="shared" si="4"/>
        <v>-0.25498510757379067</v>
      </c>
      <c r="K6" s="3">
        <f t="shared" si="5"/>
        <v>-0.27718585822512665</v>
      </c>
      <c r="L6" s="3">
        <f t="shared" si="6"/>
        <v>0.27718585822512665</v>
      </c>
      <c r="M6" s="39">
        <f t="shared" si="7"/>
        <v>0.1414213562373095</v>
      </c>
      <c r="N6" s="37"/>
      <c r="O6" s="52"/>
      <c r="P6" s="34">
        <v>3</v>
      </c>
      <c r="Q6" s="33">
        <f t="shared" si="9"/>
        <v>-1.1623999999999999</v>
      </c>
      <c r="R6" s="32">
        <f t="shared" si="10"/>
        <v>-1.1768897959183673</v>
      </c>
      <c r="S6" s="35">
        <f>SUMPRODUCT($R$4:INDEX($R$4:$R$53,ROWS($R7:R$53)),$R7:R$53)</f>
        <v>78.765360040976176</v>
      </c>
      <c r="T6" s="49">
        <f t="shared" si="11"/>
        <v>0.19019261541793583</v>
      </c>
      <c r="U6" s="47">
        <f t="shared" si="12"/>
        <v>-0.30698211885627807</v>
      </c>
      <c r="V6" s="47">
        <f t="shared" si="13"/>
        <v>0.30698211885627807</v>
      </c>
      <c r="W6" s="37">
        <f>SQRT((1/COUNT($R$4:$R$52))*(1+2*SUMSQ($T$4:T6)))</f>
        <v>0.15662353002871329</v>
      </c>
      <c r="Z6" s="48">
        <f t="shared" si="14"/>
        <v>0.12737104241324604</v>
      </c>
      <c r="AA6" s="47">
        <f t="shared" si="15"/>
        <v>-0.27999999999999997</v>
      </c>
      <c r="AB6" s="47">
        <f t="shared" si="16"/>
        <v>0.27999999999999997</v>
      </c>
      <c r="AC6" s="39">
        <f t="shared" si="17"/>
        <v>0.14285714285714285</v>
      </c>
      <c r="AE6" s="44">
        <v>4</v>
      </c>
      <c r="AF6" s="41">
        <f t="shared" si="8"/>
        <v>0.21860080478153993</v>
      </c>
      <c r="AG6" s="40">
        <f>AK6</f>
        <v>-0.25498510757379067</v>
      </c>
      <c r="AH6" s="40">
        <f>AH5-(AJ5*AK6)</f>
        <v>0.73126850749051742</v>
      </c>
      <c r="AI6" s="40">
        <f>AI5-(AI5*AK6)</f>
        <v>-9.5436419696757396E-2</v>
      </c>
      <c r="AJ6" s="40">
        <f>AJ5-(AH5*AK6)</f>
        <v>0.30060215191281603</v>
      </c>
      <c r="AK6" s="38">
        <f>(AF6-(AH5*AF5+AI5*AF4+AJ5*AF3))/(1-(AH5*AF3+AI5*AF4+AJ5*AF5))</f>
        <v>-0.25498510757379067</v>
      </c>
      <c r="AL6" s="37"/>
      <c r="AM6" s="40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43"/>
      <c r="AZ6" s="43"/>
      <c r="BA6" s="43"/>
    </row>
    <row r="7" spans="1:53">
      <c r="A7" s="36">
        <v>5</v>
      </c>
      <c r="B7" s="20">
        <v>7.8545599999999984</v>
      </c>
      <c r="C7" s="32">
        <f t="shared" si="0"/>
        <v>6.075017283269081</v>
      </c>
      <c r="D7" s="35">
        <f>SUMPRODUCT($C$3:INDEX($C$3:$C$52,ROWS(C8:$C$52)),C8:$C$52)</f>
        <v>102.06736770439281</v>
      </c>
      <c r="E7" s="51">
        <f t="shared" si="1"/>
        <v>0.14519652398194871</v>
      </c>
      <c r="F7" s="50">
        <f t="shared" si="2"/>
        <v>-0.48090563973911454</v>
      </c>
      <c r="G7" s="50">
        <f t="shared" si="3"/>
        <v>0.48090563973911454</v>
      </c>
      <c r="H7" s="37">
        <f>SQRT((1/COUNT($C$3:$C$52))*(1+2*SUMSQ($E$3:E7)))</f>
        <v>0.24536002027505843</v>
      </c>
      <c r="I7" s="37"/>
      <c r="J7" s="3">
        <f t="shared" si="4"/>
        <v>0.11775232620835639</v>
      </c>
      <c r="K7" s="3">
        <f t="shared" si="5"/>
        <v>-0.27718585822512665</v>
      </c>
      <c r="L7" s="3">
        <f t="shared" si="6"/>
        <v>0.27718585822512665</v>
      </c>
      <c r="M7" s="39">
        <f t="shared" si="7"/>
        <v>0.1414213562373095</v>
      </c>
      <c r="N7" s="37"/>
      <c r="O7" s="37"/>
      <c r="P7" s="34">
        <v>4</v>
      </c>
      <c r="Q7" s="33">
        <f t="shared" si="9"/>
        <v>-3.1150400000000014</v>
      </c>
      <c r="R7" s="32">
        <f t="shared" si="10"/>
        <v>-3.1295297959183688</v>
      </c>
      <c r="S7" s="35">
        <f>SUMPRODUCT($R$4:INDEX($R$4:$R$53,ROWS($R8:R$53)),$R8:R$53)</f>
        <v>-87.878589789177141</v>
      </c>
      <c r="T7" s="49">
        <f t="shared" si="11"/>
        <v>-0.21219808837982135</v>
      </c>
      <c r="U7" s="47">
        <f t="shared" si="12"/>
        <v>-0.31827412115900899</v>
      </c>
      <c r="V7" s="47">
        <f t="shared" si="13"/>
        <v>0.31827412115900899</v>
      </c>
      <c r="W7" s="37">
        <f>SQRT((1/COUNT($R$4:$R$52))*(1+2*SUMSQ($T$4:T7)))</f>
        <v>0.16238475569337193</v>
      </c>
      <c r="Z7" s="48">
        <f t="shared" si="14"/>
        <v>-0.22885905161243128</v>
      </c>
      <c r="AA7" s="47">
        <f t="shared" si="15"/>
        <v>-0.27999999999999997</v>
      </c>
      <c r="AB7" s="47">
        <f t="shared" si="16"/>
        <v>0.27999999999999997</v>
      </c>
      <c r="AC7" s="39">
        <f t="shared" si="17"/>
        <v>0.14285714285714285</v>
      </c>
      <c r="AE7" s="44">
        <v>5</v>
      </c>
      <c r="AF7" s="41">
        <f t="shared" si="8"/>
        <v>0.14519652398194871</v>
      </c>
      <c r="AG7" s="40">
        <f>AL7</f>
        <v>0.11775232620835639</v>
      </c>
      <c r="AH7" s="40">
        <f>AH6-(AK6*AL7)</f>
        <v>0.76129359705581923</v>
      </c>
      <c r="AI7" s="40">
        <f>AI6-(AJ6*AL7)</f>
        <v>-0.1308330223477292</v>
      </c>
      <c r="AJ7" s="40">
        <f>AJ6-(AI6*AL7)</f>
        <v>0.31184001233710623</v>
      </c>
      <c r="AK7" s="37">
        <f>AK6-(AH6*AL7)</f>
        <v>-0.34109367541371199</v>
      </c>
      <c r="AL7" s="38">
        <f>(AF7-(AH6*AF6+AI6*AF5+AJ6*AF4+AK6*AF3))/(1-(AH6*AF3+AI6*AF4+AJ6*AF5+AK6*AF6))</f>
        <v>0.11775232620835639</v>
      </c>
      <c r="AM7" s="40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43"/>
      <c r="AZ7" s="43"/>
      <c r="BA7" s="43"/>
    </row>
    <row r="8" spans="1:53">
      <c r="A8" s="36">
        <v>6</v>
      </c>
      <c r="B8" s="20">
        <v>6.9285119999999987</v>
      </c>
      <c r="C8" s="32">
        <f t="shared" si="0"/>
        <v>5.1489692832690812</v>
      </c>
      <c r="D8" s="35">
        <f>SUMPRODUCT($C$3:INDEX($C$3:$C$52,ROWS(C9:$C$52)),C9:$C$52)</f>
        <v>101.92155655768306</v>
      </c>
      <c r="E8" s="51">
        <f t="shared" si="1"/>
        <v>0.1449890994922588</v>
      </c>
      <c r="F8" s="50">
        <f t="shared" si="2"/>
        <v>-0.48425255208064244</v>
      </c>
      <c r="G8" s="50">
        <f t="shared" si="3"/>
        <v>0.48425255208064244</v>
      </c>
      <c r="H8" s="37">
        <f>SQRT((1/COUNT($C$3:$C$52))*(1+2*SUMSQ($E$3:E8)))</f>
        <v>0.24706762861257267</v>
      </c>
      <c r="I8" s="37"/>
      <c r="J8" s="3">
        <f t="shared" si="4"/>
        <v>4.5342608281006509E-2</v>
      </c>
      <c r="K8" s="3">
        <f t="shared" si="5"/>
        <v>-0.27718585822512665</v>
      </c>
      <c r="L8" s="3">
        <f t="shared" si="6"/>
        <v>0.27718585822512665</v>
      </c>
      <c r="M8" s="39">
        <f t="shared" si="7"/>
        <v>0.1414213562373095</v>
      </c>
      <c r="N8" s="37"/>
      <c r="O8" s="37"/>
      <c r="P8" s="34">
        <v>5</v>
      </c>
      <c r="Q8" s="33">
        <f t="shared" si="9"/>
        <v>-0.92604799999999976</v>
      </c>
      <c r="R8" s="32">
        <f t="shared" si="10"/>
        <v>-0.94053779591836717</v>
      </c>
      <c r="S8" s="35">
        <f>SUMPRODUCT($R$4:INDEX($R$4:$R$53,ROWS($R9:R$53)),$R9:R$53)</f>
        <v>-46.270362538671137</v>
      </c>
      <c r="T8" s="49">
        <f t="shared" si="11"/>
        <v>-0.11172781109599152</v>
      </c>
      <c r="U8" s="47">
        <f t="shared" si="12"/>
        <v>-0.32133435370504104</v>
      </c>
      <c r="V8" s="47">
        <f t="shared" si="13"/>
        <v>0.32133435370504104</v>
      </c>
      <c r="W8" s="37">
        <f>SQRT((1/COUNT($R$4:$R$52))*(1+2*SUMSQ($T$4:T8)))</f>
        <v>0.16394609882910258</v>
      </c>
      <c r="Z8" s="48">
        <f t="shared" si="14"/>
        <v>-0.11976605372778258</v>
      </c>
      <c r="AA8" s="47">
        <f t="shared" si="15"/>
        <v>-0.27999999999999997</v>
      </c>
      <c r="AB8" s="47">
        <f t="shared" si="16"/>
        <v>0.27999999999999997</v>
      </c>
      <c r="AC8" s="39">
        <f t="shared" si="17"/>
        <v>0.14285714285714285</v>
      </c>
      <c r="AE8" s="44">
        <v>6</v>
      </c>
      <c r="AF8" s="41">
        <f t="shared" si="8"/>
        <v>0.1449890994922588</v>
      </c>
      <c r="AG8" s="40">
        <f>AM8</f>
        <v>4.5342608281006509E-2</v>
      </c>
      <c r="AH8" s="40">
        <f>AH7-(AL7*AM8)</f>
        <v>0.75595439945437648</v>
      </c>
      <c r="AI8" s="40">
        <f>AI7-(AK7*AM8)</f>
        <v>-0.11536694543631648</v>
      </c>
      <c r="AJ8" s="40">
        <f>AJ7-(AJ7*AM8)</f>
        <v>0.29770037281136058</v>
      </c>
      <c r="AK8" s="37">
        <f>AK7-(AI7*AM8)</f>
        <v>-0.33516136493117876</v>
      </c>
      <c r="AL8" s="37">
        <f>AL7-(AH7*AM8)</f>
        <v>8.323328885021597E-2</v>
      </c>
      <c r="AM8" s="45">
        <f>(AF8-(AH7*AF7+AI7*AF6+AJ7*AF5+AK7*AF4+AL7*AF3))/(1-(AH7*AF3+AI7*AF4+AJ7*AF5+AK7*AF6+AL7*AF7))</f>
        <v>4.5342608281006509E-2</v>
      </c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43"/>
      <c r="AZ8" s="43"/>
      <c r="BA8" s="43"/>
    </row>
    <row r="9" spans="1:53">
      <c r="A9" s="36">
        <v>7</v>
      </c>
      <c r="B9" s="20">
        <v>3.8660799999999984</v>
      </c>
      <c r="C9" s="32">
        <f t="shared" si="0"/>
        <v>2.0865372832690809</v>
      </c>
      <c r="D9" s="35">
        <f>SUMPRODUCT($C$3:INDEX($C$3:$C$52,ROWS(C10:$C$52)),C10:$C$52)</f>
        <v>5.0890831698578785</v>
      </c>
      <c r="E9" s="51">
        <f t="shared" si="1"/>
        <v>7.2395046834013658E-3</v>
      </c>
      <c r="F9" s="50">
        <f t="shared" si="2"/>
        <v>-0.48426086750080566</v>
      </c>
      <c r="G9" s="50">
        <f t="shared" si="3"/>
        <v>0.48426086750080566</v>
      </c>
      <c r="H9" s="37">
        <f>SQRT((1/COUNT($C$3:$C$52))*(1+2*SUMSQ($E$3:E9)))</f>
        <v>0.24707187117388044</v>
      </c>
      <c r="I9" s="37"/>
      <c r="J9" s="3">
        <f t="shared" si="4"/>
        <v>-0.18429625643271699</v>
      </c>
      <c r="K9" s="3">
        <f t="shared" si="5"/>
        <v>-0.27718585822512665</v>
      </c>
      <c r="L9" s="3">
        <f t="shared" si="6"/>
        <v>0.27718585822512665</v>
      </c>
      <c r="M9" s="39">
        <f t="shared" si="7"/>
        <v>0.1414213562373095</v>
      </c>
      <c r="N9" s="37"/>
      <c r="O9" s="37"/>
      <c r="P9" s="34">
        <v>6</v>
      </c>
      <c r="Q9" s="33">
        <f t="shared" si="9"/>
        <v>-3.0624320000000003</v>
      </c>
      <c r="R9" s="32">
        <f t="shared" si="10"/>
        <v>-3.0769217959183677</v>
      </c>
      <c r="S9" s="35">
        <f>SUMPRODUCT($R$4:INDEX($R$4:$R$53,ROWS($R10:R$53)),$R10:R$53)</f>
        <v>101.4082168627711</v>
      </c>
      <c r="T9" s="49">
        <f t="shared" si="11"/>
        <v>0.24486771824525294</v>
      </c>
      <c r="U9" s="47">
        <f t="shared" si="12"/>
        <v>-0.33564494058903172</v>
      </c>
      <c r="V9" s="47">
        <f t="shared" si="13"/>
        <v>0.33564494058903172</v>
      </c>
      <c r="W9" s="37">
        <f>SQRT((1/COUNT($R$4:$R$52))*(1+2*SUMSQ($T$4:T9)))</f>
        <v>0.17124741866787332</v>
      </c>
      <c r="Z9" s="48">
        <f t="shared" si="14"/>
        <v>0.11234116596202119</v>
      </c>
      <c r="AA9" s="47">
        <f t="shared" si="15"/>
        <v>-0.27999999999999997</v>
      </c>
      <c r="AB9" s="47">
        <f t="shared" si="16"/>
        <v>0.27999999999999997</v>
      </c>
      <c r="AC9" s="39">
        <f t="shared" si="17"/>
        <v>0.14285714285714285</v>
      </c>
      <c r="AE9" s="44">
        <v>7</v>
      </c>
      <c r="AF9" s="41">
        <f t="shared" si="8"/>
        <v>7.2395046834013658E-3</v>
      </c>
      <c r="AG9" s="40">
        <f>AN9</f>
        <v>-0.18429625643271699</v>
      </c>
      <c r="AH9" s="40">
        <f>AH8-(AM8*AN9)</f>
        <v>0.7643108724174611</v>
      </c>
      <c r="AI9" s="40">
        <f>AI8-(AL8*AN9)</f>
        <v>-0.10002736189063867</v>
      </c>
      <c r="AJ9" s="40">
        <f>AJ8-(AK8*AN9)</f>
        <v>0.23593138795366461</v>
      </c>
      <c r="AK9" s="37">
        <f>AK8-(AJ8*AN9)</f>
        <v>-0.28029630068342082</v>
      </c>
      <c r="AL9" s="37">
        <f>AL8-(AI8*AN9)</f>
        <v>6.1971592690225313E-2</v>
      </c>
      <c r="AM9" s="37">
        <f>AM8-(AH8*AN9)</f>
        <v>0.18466217413429084</v>
      </c>
      <c r="AN9" s="38">
        <f>(AF9-(AH8*AF8+AI8*AF7+AJ8*AF6+AK8*AF5+AL8*AF4+AM8*AF3))/(1-(AH8*AF3+AI8*AF4+AJ8*AF5+AK8*AF6+AL8*AF7+AM8*AF8))</f>
        <v>-0.18429625643271699</v>
      </c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43"/>
      <c r="AZ9" s="43"/>
      <c r="BA9" s="43"/>
    </row>
    <row r="10" spans="1:53">
      <c r="A10" s="36">
        <v>8</v>
      </c>
      <c r="B10" s="20">
        <v>2.9443020799999982</v>
      </c>
      <c r="C10" s="32">
        <f t="shared" si="0"/>
        <v>1.1647593632690805</v>
      </c>
      <c r="D10" s="35">
        <f>SUMPRODUCT($C$3:INDEX($C$3:$C$52,ROWS(C11:$C$52)),C11:$C$52)</f>
        <v>13.485179753651879</v>
      </c>
      <c r="E10" s="51">
        <f t="shared" si="1"/>
        <v>1.918342041672674E-2</v>
      </c>
      <c r="F10" s="50">
        <f t="shared" si="2"/>
        <v>-0.48431925080542193</v>
      </c>
      <c r="G10" s="50">
        <f t="shared" si="3"/>
        <v>0.48431925080542193</v>
      </c>
      <c r="H10" s="37">
        <f>SQRT((1/COUNT($C$3:$C$52))*(1+2*SUMSQ($E$3:E10)))</f>
        <v>0.24710165857419486</v>
      </c>
      <c r="I10" s="37"/>
      <c r="J10" s="3">
        <f t="shared" si="4"/>
        <v>0.15120379611590021</v>
      </c>
      <c r="K10" s="3">
        <f t="shared" si="5"/>
        <v>-0.27718585822512665</v>
      </c>
      <c r="L10" s="3">
        <f t="shared" si="6"/>
        <v>0.27718585822512665</v>
      </c>
      <c r="M10" s="39">
        <f t="shared" si="7"/>
        <v>0.1414213562373095</v>
      </c>
      <c r="N10" s="37"/>
      <c r="O10" s="37"/>
      <c r="P10" s="34">
        <v>7</v>
      </c>
      <c r="Q10" s="33">
        <f t="shared" si="9"/>
        <v>-0.92177792000000025</v>
      </c>
      <c r="R10" s="32">
        <f t="shared" si="10"/>
        <v>-0.93626771591836766</v>
      </c>
      <c r="S10" s="35">
        <f>SUMPRODUCT($R$4:INDEX($R$4:$R$53,ROWS($R11:R$53)),$R11:R$53)</f>
        <v>-102.36502995731705</v>
      </c>
      <c r="T10" s="49">
        <f t="shared" si="11"/>
        <v>-0.24717810932101456</v>
      </c>
      <c r="U10" s="47">
        <f t="shared" si="12"/>
        <v>-0.34962485398307769</v>
      </c>
      <c r="V10" s="47">
        <f t="shared" si="13"/>
        <v>0.34962485398307769</v>
      </c>
      <c r="W10" s="37">
        <f>SQRT((1/COUNT($R$4:$R$52))*(1+2*SUMSQ($T$4:T10)))</f>
        <v>0.17838002754238658</v>
      </c>
      <c r="Z10" s="48">
        <f t="shared" si="14"/>
        <v>-0.22695857926700613</v>
      </c>
      <c r="AA10" s="47">
        <f t="shared" si="15"/>
        <v>-0.27999999999999997</v>
      </c>
      <c r="AB10" s="47">
        <f t="shared" si="16"/>
        <v>0.27999999999999997</v>
      </c>
      <c r="AC10" s="39">
        <f t="shared" si="17"/>
        <v>0.14285714285714285</v>
      </c>
      <c r="AE10" s="44">
        <v>8</v>
      </c>
      <c r="AF10" s="41">
        <f t="shared" si="8"/>
        <v>1.918342041672674E-2</v>
      </c>
      <c r="AG10" s="40">
        <f>AO10</f>
        <v>0.15120379611590021</v>
      </c>
      <c r="AH10" s="40">
        <f>AH9-(AN9*AO10)</f>
        <v>0.79217716600003729</v>
      </c>
      <c r="AI10" s="40">
        <f>AI9-(AM9*AO10)</f>
        <v>-0.12794898361875884</v>
      </c>
      <c r="AJ10" s="40">
        <f>AJ9-(AL9*AO10)</f>
        <v>0.22656104788755418</v>
      </c>
      <c r="AK10" s="37">
        <f>AK9-(AK9*AO10)</f>
        <v>-0.23791443598284379</v>
      </c>
      <c r="AL10" s="37">
        <f>AL9-(AJ9*AO10)</f>
        <v>2.6297871208738055E-2</v>
      </c>
      <c r="AM10" s="37">
        <f>AM9-(AI9*AO10)</f>
        <v>0.19978669096761434</v>
      </c>
      <c r="AN10" s="37">
        <f>AN9-(AH9*AO10)</f>
        <v>-0.29986296175489258</v>
      </c>
      <c r="AO10" s="38">
        <f>(AF10-(AH9*AF9+AI9*AF8+AJ9*AF7+AK9*AF6+AL9*AF5+AM9*AF4+AN9*AF3))/(1-(AH9*AF3+AI9*AF4+AJ9*AF5+AK9*AF6+AL9*AF7+AM9*AF8+AN9*AF9))</f>
        <v>0.15120379611590021</v>
      </c>
      <c r="AP10" s="37"/>
      <c r="AQ10" s="37"/>
      <c r="AR10" s="37"/>
      <c r="AS10" s="37"/>
      <c r="AT10" s="37"/>
      <c r="AU10" s="37"/>
      <c r="AV10" s="37"/>
      <c r="AW10" s="37"/>
      <c r="AX10" s="37"/>
      <c r="AY10" s="43"/>
      <c r="AZ10" s="43"/>
      <c r="BA10" s="43"/>
    </row>
    <row r="11" spans="1:53">
      <c r="A11" s="36">
        <v>9</v>
      </c>
      <c r="B11" s="20">
        <v>-0.12313113600000225</v>
      </c>
      <c r="C11" s="32">
        <f t="shared" si="0"/>
        <v>-1.9026738527309199</v>
      </c>
      <c r="D11" s="35">
        <f>SUMPRODUCT($C$3:INDEX($C$3:$C$52,ROWS(C12:$C$52)),C12:$C$52)</f>
        <v>-7.3461295834977944</v>
      </c>
      <c r="E11" s="51">
        <f t="shared" si="1"/>
        <v>-1.0450279107167906E-2</v>
      </c>
      <c r="F11" s="50">
        <f t="shared" si="2"/>
        <v>-0.48433657521404627</v>
      </c>
      <c r="G11" s="50">
        <f t="shared" si="3"/>
        <v>0.48433657521404627</v>
      </c>
      <c r="H11" s="37">
        <f>SQRT((1/COUNT($C$3:$C$52))*(1+2*SUMSQ($E$3:E11)))</f>
        <v>0.24711049755818687</v>
      </c>
      <c r="I11" s="37"/>
      <c r="J11" s="3">
        <f t="shared" si="4"/>
        <v>-0.16056467700472077</v>
      </c>
      <c r="K11" s="3">
        <f t="shared" si="5"/>
        <v>-0.27718585822512665</v>
      </c>
      <c r="L11" s="3">
        <f t="shared" si="6"/>
        <v>0.27718585822512665</v>
      </c>
      <c r="M11" s="39">
        <f t="shared" si="7"/>
        <v>0.1414213562373095</v>
      </c>
      <c r="N11" s="37"/>
      <c r="O11" s="37"/>
      <c r="P11" s="34">
        <v>8</v>
      </c>
      <c r="Q11" s="33">
        <f t="shared" si="9"/>
        <v>-3.0674332160000004</v>
      </c>
      <c r="R11" s="32">
        <f t="shared" si="10"/>
        <v>-3.0819230119183678</v>
      </c>
      <c r="S11" s="35">
        <f>SUMPRODUCT($R$4:INDEX($R$4:$R$53,ROWS($R12:R$53)),$R12:R$53)</f>
        <v>19.488847079753253</v>
      </c>
      <c r="T11" s="49">
        <f t="shared" si="11"/>
        <v>4.7059199572631501E-2</v>
      </c>
      <c r="U11" s="47">
        <f t="shared" si="12"/>
        <v>-0.35012109737424985</v>
      </c>
      <c r="V11" s="47">
        <f t="shared" si="13"/>
        <v>0.35012109737424985</v>
      </c>
      <c r="W11" s="37">
        <f>SQRT((1/COUNT($R$4:$R$52))*(1+2*SUMSQ($T$4:T11)))</f>
        <v>0.17863321294604584</v>
      </c>
      <c r="Z11" s="48">
        <f t="shared" si="14"/>
        <v>6.1701367644729978E-2</v>
      </c>
      <c r="AA11" s="47">
        <f t="shared" si="15"/>
        <v>-0.27999999999999997</v>
      </c>
      <c r="AB11" s="47">
        <f t="shared" si="16"/>
        <v>0.27999999999999997</v>
      </c>
      <c r="AC11" s="39">
        <f t="shared" si="17"/>
        <v>0.14285714285714285</v>
      </c>
      <c r="AE11" s="44">
        <v>9</v>
      </c>
      <c r="AF11" s="41">
        <f t="shared" si="8"/>
        <v>-1.0450279107167906E-2</v>
      </c>
      <c r="AG11" s="40">
        <f>AP11</f>
        <v>-0.16056467700472077</v>
      </c>
      <c r="AH11" s="40">
        <f>AH10-(AO10*AP11)</f>
        <v>0.81645515468527441</v>
      </c>
      <c r="AI11" s="40">
        <f>AI10-(AN10*AP11)</f>
        <v>-0.1760963832186121</v>
      </c>
      <c r="AJ11" s="40">
        <f>AJ10-(AM10*AP11)</f>
        <v>0.25863973339261115</v>
      </c>
      <c r="AK11" s="37">
        <f>AK10-(AL10*AP11)</f>
        <v>-0.23369192678630102</v>
      </c>
      <c r="AL11" s="37">
        <f>AL10-(AK10*AP11)</f>
        <v>-1.1902783359607573E-2</v>
      </c>
      <c r="AM11" s="37">
        <f>AM10-(AJ10*AP11)</f>
        <v>0.23616439244353055</v>
      </c>
      <c r="AN11" s="37">
        <f>AN10-(AI10*AP11)</f>
        <v>-0.32040704898272088</v>
      </c>
      <c r="AO11" s="37">
        <f>AO10-(AH10*AP11)</f>
        <v>0.27839946690521122</v>
      </c>
      <c r="AP11" s="38">
        <f>(AF11-(AH10*AF10+AI10*AF9+AJ10*AF8+AK10*AF7+AL10*AF6+AM10*AF5+AN10*AF4+AO10*AF3))/(1-(AH10*AF3+AI10*AF4+AJ10*AF5+AK10*AF6+AL10*AF7+AM10*AF8+AN10*AF9+AO10*AF10))</f>
        <v>-0.16056467700472077</v>
      </c>
      <c r="AQ11" s="37"/>
      <c r="AR11" s="37"/>
      <c r="AS11" s="37"/>
      <c r="AT11" s="37"/>
      <c r="AU11" s="37"/>
      <c r="AV11" s="37"/>
      <c r="AW11" s="37"/>
      <c r="AX11" s="37"/>
      <c r="AY11" s="43"/>
      <c r="AZ11" s="43"/>
      <c r="BA11" s="43"/>
    </row>
    <row r="12" spans="1:53">
      <c r="A12" s="36">
        <v>10</v>
      </c>
      <c r="B12" s="20">
        <v>4.9504067583999998</v>
      </c>
      <c r="C12" s="32">
        <f t="shared" si="0"/>
        <v>3.1708640416690823</v>
      </c>
      <c r="D12" s="35">
        <f>SUMPRODUCT($C$3:INDEX($C$3:$C$52,ROWS(C13:$C$52)),C13:$C$52)</f>
        <v>-53.821275573127508</v>
      </c>
      <c r="E12" s="51">
        <f t="shared" si="1"/>
        <v>-7.6563766708723974E-2</v>
      </c>
      <c r="F12" s="50">
        <f t="shared" si="2"/>
        <v>-0.4852655953722364</v>
      </c>
      <c r="G12" s="50">
        <f t="shared" si="3"/>
        <v>0.4852655953722364</v>
      </c>
      <c r="H12" s="37">
        <f>SQRT((1/COUNT($C$3:$C$52))*(1+2*SUMSQ($E$3:E12)))</f>
        <v>0.24758448743481448</v>
      </c>
      <c r="I12" s="37"/>
      <c r="J12" s="3">
        <f t="shared" si="4"/>
        <v>6.1712181103150306E-2</v>
      </c>
      <c r="K12" s="3">
        <f t="shared" si="5"/>
        <v>-0.27718585822512665</v>
      </c>
      <c r="L12" s="3">
        <f t="shared" si="6"/>
        <v>0.27718585822512665</v>
      </c>
      <c r="M12" s="39">
        <f t="shared" si="7"/>
        <v>0.1414213562373095</v>
      </c>
      <c r="N12" s="37"/>
      <c r="O12" s="37"/>
      <c r="P12" s="34">
        <v>9</v>
      </c>
      <c r="Q12" s="33">
        <f t="shared" si="9"/>
        <v>5.073537894400002</v>
      </c>
      <c r="R12" s="32">
        <f t="shared" si="10"/>
        <v>5.0590480984816351</v>
      </c>
      <c r="S12" s="35">
        <f>SUMPRODUCT($R$4:INDEX($R$4:$R$53,ROWS($R13:R$53)),$R13:R$53)</f>
        <v>26.786138110246021</v>
      </c>
      <c r="T12" s="49">
        <f t="shared" si="11"/>
        <v>6.467977371630633E-2</v>
      </c>
      <c r="U12" s="47">
        <f t="shared" si="12"/>
        <v>-0.35105662137754673</v>
      </c>
      <c r="V12" s="47">
        <f t="shared" si="13"/>
        <v>0.35105662137754673</v>
      </c>
      <c r="W12" s="37">
        <f>SQRT((1/COUNT($R$4:$R$52))*(1+2*SUMSQ($T$4:T12)))</f>
        <v>0.17911052111099324</v>
      </c>
      <c r="Z12" s="48">
        <f t="shared" si="14"/>
        <v>-0.13208176922036657</v>
      </c>
      <c r="AA12" s="47">
        <f t="shared" si="15"/>
        <v>-0.27999999999999997</v>
      </c>
      <c r="AB12" s="47">
        <f t="shared" si="16"/>
        <v>0.27999999999999997</v>
      </c>
      <c r="AC12" s="39">
        <f t="shared" si="17"/>
        <v>0.14285714285714285</v>
      </c>
      <c r="AE12" s="44">
        <v>10</v>
      </c>
      <c r="AF12" s="41">
        <f t="shared" si="8"/>
        <v>-7.6563766708723974E-2</v>
      </c>
      <c r="AG12" s="40">
        <f>AQ12</f>
        <v>6.1712181103150306E-2</v>
      </c>
      <c r="AH12" s="40">
        <f>AH11-(AP11*AQ12)</f>
        <v>0.82636395111135852</v>
      </c>
      <c r="AI12" s="40">
        <f>AI11-(AO11*AQ12)</f>
        <v>-0.193277021539287</v>
      </c>
      <c r="AJ12" s="40">
        <f>AJ11-(AN11*AQ12)</f>
        <v>0.27841275122615877</v>
      </c>
      <c r="AK12" s="37">
        <f>AK11-(AM11*AQ12)</f>
        <v>-0.24826614654289164</v>
      </c>
      <c r="AL12" s="37">
        <f>AL11-(AL11*AQ12)</f>
        <v>-1.1168236637287906E-2</v>
      </c>
      <c r="AM12" s="37">
        <f>AM11-(AK11*AQ12)</f>
        <v>0.25058603095171089</v>
      </c>
      <c r="AN12" s="37">
        <f>AN11-(AJ11*AQ12)</f>
        <v>-0.33636827105031619</v>
      </c>
      <c r="AO12" s="37">
        <f>AO11-(AI11*AQ12)</f>
        <v>0.28926675879800795</v>
      </c>
      <c r="AP12" s="37">
        <f>AP11-(AH11*AQ12)</f>
        <v>-0.21094990537325903</v>
      </c>
      <c r="AQ12" s="38">
        <f>(AF12-(AH11*AF11+AI11*AF10+AJ11*AF9+AK11*AF8+AL11*AF7+AM11*AF6+AN11*AF5+AO11*AF4+AP11*AF3))/(1-(AH11*AF3+AI11*AF4+AJ11*AF5+AK11*AF6+AL11*AF7+AM11*AF8+AN11*AF9+AO11*AF10+AP11*AF11))</f>
        <v>6.1712181103150306E-2</v>
      </c>
      <c r="AR12" s="37"/>
      <c r="AS12" s="37"/>
      <c r="AT12" s="37"/>
      <c r="AU12" s="37"/>
      <c r="AV12" s="37"/>
      <c r="AW12" s="37"/>
      <c r="AX12" s="37"/>
      <c r="AY12" s="43"/>
      <c r="AZ12" s="43"/>
      <c r="BA12" s="43"/>
    </row>
    <row r="13" spans="1:53">
      <c r="A13" s="36">
        <v>11</v>
      </c>
      <c r="B13" s="20">
        <v>3.2800263884799983</v>
      </c>
      <c r="C13" s="32">
        <f t="shared" si="0"/>
        <v>1.5004836717490806</v>
      </c>
      <c r="D13" s="35">
        <f>SUMPRODUCT($C$3:INDEX($C$3:$C$52,ROWS(C14:$C$52)),C14:$C$52)</f>
        <v>-9.4489897167500061</v>
      </c>
      <c r="E13" s="51">
        <f t="shared" si="1"/>
        <v>-1.3441714946414085E-2</v>
      </c>
      <c r="F13" s="50">
        <f t="shared" si="2"/>
        <v>-0.48529420150821856</v>
      </c>
      <c r="G13" s="50">
        <f t="shared" si="3"/>
        <v>0.48529420150821856</v>
      </c>
      <c r="H13" s="37">
        <f>SQRT((1/COUNT($C$3:$C$52))*(1+2*SUMSQ($E$3:E13)))</f>
        <v>0.24759908240215234</v>
      </c>
      <c r="I13" s="37"/>
      <c r="J13" s="3">
        <f t="shared" si="4"/>
        <v>5.7630126988092459E-2</v>
      </c>
      <c r="K13" s="3">
        <f t="shared" si="5"/>
        <v>-0.27718585822512665</v>
      </c>
      <c r="L13" s="3">
        <f t="shared" si="6"/>
        <v>0.27718585822512665</v>
      </c>
      <c r="M13" s="39">
        <f t="shared" si="7"/>
        <v>0.1414213562373095</v>
      </c>
      <c r="N13" s="37"/>
      <c r="O13" s="37"/>
      <c r="P13" s="34">
        <v>10</v>
      </c>
      <c r="Q13" s="33">
        <f t="shared" si="9"/>
        <v>-1.6703803699200015</v>
      </c>
      <c r="R13" s="32">
        <f t="shared" si="10"/>
        <v>-1.6848701658383689</v>
      </c>
      <c r="S13" s="35">
        <f>SUMPRODUCT($R$4:INDEX($R$4:$R$53,ROWS($R14:R$53)),$R14:R$53)</f>
        <v>-84.757988785356019</v>
      </c>
      <c r="T13" s="49">
        <f t="shared" si="11"/>
        <v>-0.20466285631481446</v>
      </c>
      <c r="U13" s="47">
        <f t="shared" si="12"/>
        <v>-0.36028962647097201</v>
      </c>
      <c r="V13" s="47">
        <f t="shared" si="13"/>
        <v>0.36028962647097201</v>
      </c>
      <c r="W13" s="37">
        <f>SQRT((1/COUNT($R$4:$R$52))*(1+2*SUMSQ($T$4:T13)))</f>
        <v>0.18382123799539388</v>
      </c>
      <c r="Z13" s="48">
        <f t="shared" si="14"/>
        <v>-0.11252631430978571</v>
      </c>
      <c r="AA13" s="47">
        <f t="shared" si="15"/>
        <v>-0.27999999999999997</v>
      </c>
      <c r="AB13" s="47">
        <f t="shared" si="16"/>
        <v>0.27999999999999997</v>
      </c>
      <c r="AC13" s="39">
        <f t="shared" si="17"/>
        <v>0.14285714285714285</v>
      </c>
      <c r="AE13" s="44">
        <v>11</v>
      </c>
      <c r="AF13" s="41">
        <f t="shared" si="8"/>
        <v>-1.3441714946414085E-2</v>
      </c>
      <c r="AG13" s="40">
        <f>AR13</f>
        <v>5.7630126988092459E-2</v>
      </c>
      <c r="AH13" s="40">
        <f>AH12-(AQ12*AR13)</f>
        <v>0.82280747027767176</v>
      </c>
      <c r="AI13" s="40">
        <f>AI12-(AP12*AR13)</f>
        <v>-0.18111995170449999</v>
      </c>
      <c r="AJ13" s="40">
        <f>AJ12-(AO12*AR13)</f>
        <v>0.26174227118319565</v>
      </c>
      <c r="AK13" s="37">
        <f>AK12-(AN12*AR13)</f>
        <v>-0.22888120036749682</v>
      </c>
      <c r="AL13" s="37">
        <f>AL12-(AM12*AR13)</f>
        <v>-2.5609541422477074E-2</v>
      </c>
      <c r="AM13" s="37">
        <f>AM12-(AL12*AR13)</f>
        <v>0.25122965784735085</v>
      </c>
      <c r="AN13" s="37">
        <f>AN12-(AK12*AR13)</f>
        <v>-0.322060661498205</v>
      </c>
      <c r="AO13" s="37">
        <f>AO12-(AJ12*AR13)</f>
        <v>0.27322179658974022</v>
      </c>
      <c r="AP13" s="37">
        <f>AP12-(AI12*AR13)</f>
        <v>-0.19981132607806965</v>
      </c>
      <c r="AQ13" s="37">
        <f>AQ12-(AH12*AR13)</f>
        <v>1.4088721662220888E-2</v>
      </c>
      <c r="AR13" s="38">
        <f>(AF13-(AH12*AF12+AI12*AF11+AJ12*AF10+AK12*AF9+AL12*AF8+AM12*AF7+AN12*AF6+AO12*AF5+AP12*AF4+AQ12*AF3))/(1-(AH12*AF3+AI12*AF4+AJ12*AF5+AK12*AF6+AL12*AF7+AM12*AF8+AN12*AF9+AO12*AF10+AP12*AF11+AQ12*AF12))</f>
        <v>5.7630126988092459E-2</v>
      </c>
      <c r="AS13" s="37"/>
      <c r="AT13" s="37"/>
      <c r="AU13" s="37"/>
      <c r="AV13" s="37"/>
      <c r="AW13" s="37"/>
      <c r="AX13" s="37"/>
      <c r="AY13" s="43"/>
      <c r="AZ13" s="43"/>
      <c r="BA13" s="43"/>
    </row>
    <row r="14" spans="1:53">
      <c r="A14" s="36">
        <v>12</v>
      </c>
      <c r="B14" s="20">
        <v>-8.8043970560002904E-2</v>
      </c>
      <c r="C14" s="32">
        <f t="shared" si="0"/>
        <v>-1.8675866872909206</v>
      </c>
      <c r="D14" s="35">
        <f>SUMPRODUCT($C$3:INDEX($C$3:$C$52,ROWS(C15:$C$52)),C15:$C$52)</f>
        <v>20.151171013687669</v>
      </c>
      <c r="E14" s="51">
        <f t="shared" si="1"/>
        <v>2.8666164819956715E-2</v>
      </c>
      <c r="F14" s="50">
        <f t="shared" si="2"/>
        <v>-0.4854242837525522</v>
      </c>
      <c r="G14" s="50">
        <f t="shared" si="3"/>
        <v>0.4854242837525522</v>
      </c>
      <c r="H14" s="37">
        <f>SQRT((1/COUNT($C$3:$C$52))*(1+2*SUMSQ($E$3:E14)))</f>
        <v>0.24766545089415928</v>
      </c>
      <c r="I14" s="37"/>
      <c r="J14" s="3">
        <f t="shared" si="4"/>
        <v>4.9158830755738896E-2</v>
      </c>
      <c r="K14" s="3">
        <f t="shared" si="5"/>
        <v>-0.27718585822512665</v>
      </c>
      <c r="L14" s="3">
        <f t="shared" si="6"/>
        <v>0.27718585822512665</v>
      </c>
      <c r="M14" s="39">
        <f t="shared" si="7"/>
        <v>0.1414213562373095</v>
      </c>
      <c r="N14" s="37"/>
      <c r="O14" s="37"/>
      <c r="P14" s="34">
        <v>11</v>
      </c>
      <c r="Q14" s="33">
        <f t="shared" si="9"/>
        <v>-3.3680703590400012</v>
      </c>
      <c r="R14" s="32">
        <f t="shared" si="10"/>
        <v>-3.3825601549583686</v>
      </c>
      <c r="S14" s="35">
        <f>SUMPRODUCT($R$4:INDEX($R$4:$R$53,ROWS($R15:R$53)),$R15:R$53)</f>
        <v>4.8381498336167148</v>
      </c>
      <c r="T14" s="49">
        <f t="shared" si="11"/>
        <v>1.1682551443435385E-2</v>
      </c>
      <c r="U14" s="47">
        <f t="shared" si="12"/>
        <v>-0.36031932410222289</v>
      </c>
      <c r="V14" s="47">
        <f t="shared" si="13"/>
        <v>0.36031932410222289</v>
      </c>
      <c r="W14" s="37">
        <f>SQRT((1/COUNT($R$4:$R$52))*(1+2*SUMSQ($T$4:T14)))</f>
        <v>0.18383638984807291</v>
      </c>
      <c r="Z14" s="48">
        <f t="shared" si="14"/>
        <v>-0.11311895824433384</v>
      </c>
      <c r="AA14" s="47">
        <f t="shared" si="15"/>
        <v>-0.27999999999999997</v>
      </c>
      <c r="AB14" s="47">
        <f t="shared" si="16"/>
        <v>0.27999999999999997</v>
      </c>
      <c r="AC14" s="39">
        <f t="shared" si="17"/>
        <v>0.14285714285714285</v>
      </c>
      <c r="AE14" s="44">
        <v>12</v>
      </c>
      <c r="AF14" s="41">
        <f t="shared" si="8"/>
        <v>2.8666164819956715E-2</v>
      </c>
      <c r="AG14" s="40">
        <f>AS14</f>
        <v>4.9158830755738896E-2</v>
      </c>
      <c r="AH14" s="40">
        <f>AH13-(AR13*AS14)</f>
        <v>0.81997444061863234</v>
      </c>
      <c r="AI14" s="40">
        <f>AI13-(AQ13*AS14)</f>
        <v>-0.18181253678825782</v>
      </c>
      <c r="AJ14" s="40">
        <f>AJ13-(AP13*AS14)</f>
        <v>0.27156476234494725</v>
      </c>
      <c r="AK14" s="37">
        <f>AK13-(AO13*AS14)</f>
        <v>-0.24231246442483079</v>
      </c>
      <c r="AL14" s="37">
        <f>AL13-(AN13*AS14)</f>
        <v>-9.7774158708055017E-3</v>
      </c>
      <c r="AM14" s="37">
        <f>AM13-(AM13*AS14)</f>
        <v>0.23887950161641075</v>
      </c>
      <c r="AN14" s="37">
        <f>AN13-(AL13*AS14)</f>
        <v>-0.32080172638568538</v>
      </c>
      <c r="AO14" s="37">
        <f>AO13-(AK13*AS14)</f>
        <v>0.28447332878177634</v>
      </c>
      <c r="AP14" s="37">
        <f>AP13-(AJ13*AS14)</f>
        <v>-0.21267827008878706</v>
      </c>
      <c r="AQ14" s="37">
        <f>AQ13-(AI13*AS14)</f>
        <v>2.2992366714550003E-2</v>
      </c>
      <c r="AR14" s="37">
        <f>AR13-(AH13*AS14)</f>
        <v>1.7181873812154733E-2</v>
      </c>
      <c r="AS14" s="38">
        <f>(AF14-(AH13*AF13+AI13*AF12+AJ13*AF11+AK13*AF10+AL13*AF9+AM13*AF8+AN13*AF7+AO13*AF6+AP13*AF5+AQ13*AF4+AR13*AF3))/(1-(AH13*AF3+AI13*AF4+AJ13*AF5+AK13*AF6+AL13*AF7+AM13*AF8+AN13*AF9+AO13*AF10+AP13*AF11+AQ13*AF12+AR13*AF13))</f>
        <v>4.9158830755738896E-2</v>
      </c>
      <c r="AT14" s="37"/>
      <c r="AU14" s="37"/>
      <c r="AV14" s="37"/>
      <c r="AW14" s="37"/>
      <c r="AX14" s="37"/>
      <c r="AY14" s="43"/>
      <c r="AZ14" s="43"/>
      <c r="BA14" s="43"/>
    </row>
    <row r="15" spans="1:53">
      <c r="A15" s="36">
        <v>13</v>
      </c>
      <c r="B15" s="20">
        <v>2.8647606013951963</v>
      </c>
      <c r="C15" s="32">
        <f t="shared" si="0"/>
        <v>1.0852178846642786</v>
      </c>
      <c r="D15" s="35">
        <f>SUMPRODUCT($C$3:INDEX($C$3:$C$52,ROWS(C16:$C$52)),C16:$C$52)</f>
        <v>-6.3185275484254841</v>
      </c>
      <c r="E15" s="51">
        <f t="shared" si="1"/>
        <v>-8.9884578915821276E-3</v>
      </c>
      <c r="F15" s="50">
        <f t="shared" si="2"/>
        <v>-0.48543707124222768</v>
      </c>
      <c r="G15" s="50">
        <f t="shared" si="3"/>
        <v>0.48543707124222768</v>
      </c>
      <c r="H15" s="37">
        <f>SQRT((1/COUNT($C$3:$C$52))*(1+2*SUMSQ($E$3:E15)))</f>
        <v>0.24767197512358555</v>
      </c>
      <c r="I15" s="37"/>
      <c r="J15" s="3">
        <f t="shared" si="4"/>
        <v>-4.7960665210238222E-2</v>
      </c>
      <c r="K15" s="3">
        <f t="shared" si="5"/>
        <v>-0.27718585822512665</v>
      </c>
      <c r="L15" s="3">
        <f t="shared" si="6"/>
        <v>0.27718585822512665</v>
      </c>
      <c r="M15" s="39">
        <f t="shared" si="7"/>
        <v>0.1414213562373095</v>
      </c>
      <c r="N15" s="37"/>
      <c r="O15" s="37"/>
      <c r="P15" s="34">
        <v>12</v>
      </c>
      <c r="Q15" s="33">
        <f t="shared" si="9"/>
        <v>2.9528045719551992</v>
      </c>
      <c r="R15" s="32">
        <f t="shared" si="10"/>
        <v>2.9383147760368318</v>
      </c>
      <c r="S15" s="35">
        <f>SUMPRODUCT($R$4:INDEX($R$4:$R$53,ROWS($R16:R$53)),$R16:R$53)</f>
        <v>60.452766227394548</v>
      </c>
      <c r="T15" s="49">
        <f t="shared" si="11"/>
        <v>0.14597368325436191</v>
      </c>
      <c r="U15" s="47">
        <f t="shared" si="12"/>
        <v>-0.36492623816613801</v>
      </c>
      <c r="V15" s="47">
        <f t="shared" si="13"/>
        <v>0.36492623816613801</v>
      </c>
      <c r="W15" s="37">
        <f>SQRT((1/COUNT($R$4:$R$52))*(1+2*SUMSQ($T$4:T15)))</f>
        <v>0.18618685620721326</v>
      </c>
      <c r="Z15" s="48">
        <f t="shared" si="14"/>
        <v>3.6600657857219139E-3</v>
      </c>
      <c r="AA15" s="47">
        <f t="shared" si="15"/>
        <v>-0.27999999999999997</v>
      </c>
      <c r="AB15" s="47">
        <f t="shared" si="16"/>
        <v>0.27999999999999997</v>
      </c>
      <c r="AC15" s="39">
        <f t="shared" si="17"/>
        <v>0.14285714285714285</v>
      </c>
      <c r="AE15" s="44">
        <v>13</v>
      </c>
      <c r="AF15" s="41">
        <f t="shared" si="8"/>
        <v>-8.9884578915821276E-3</v>
      </c>
      <c r="AG15" s="40">
        <f>AT15</f>
        <v>-4.7960665210238222E-2</v>
      </c>
      <c r="AH15" s="40">
        <f>AH14-(AS14*AT15)</f>
        <v>0.82233213084263512</v>
      </c>
      <c r="AI15" s="40">
        <f>AI14-(AR14*AT15)</f>
        <v>-0.1809884826906685</v>
      </c>
      <c r="AJ15" s="40">
        <f>AJ14-(AQ14*AT15)</f>
        <v>0.27266749154733483</v>
      </c>
      <c r="AK15" s="37">
        <f>AK14-(AP14*AT15)</f>
        <v>-0.25251265573405174</v>
      </c>
      <c r="AL15" s="37">
        <f>AL14-(AO14*AT15)</f>
        <v>3.8661142121392978E-3</v>
      </c>
      <c r="AM15" s="37">
        <f>AM14-(AN14*AT15)</f>
        <v>0.22349363741836045</v>
      </c>
      <c r="AN15" s="37">
        <f>AN14-(AM14*AT15)</f>
        <v>-0.30934490658307212</v>
      </c>
      <c r="AO15" s="37">
        <f>AO14-(AL14*AT15)</f>
        <v>0.28400439741257538</v>
      </c>
      <c r="AP15" s="37">
        <f>AP14-(AK14*AT15)</f>
        <v>-0.22429973707133413</v>
      </c>
      <c r="AQ15" s="37">
        <f>AQ14-(AJ14*AT15)</f>
        <v>3.6016793364273922E-2</v>
      </c>
      <c r="AR15" s="37">
        <f>AR14-(AI14*AT15)</f>
        <v>8.4620236042289784E-3</v>
      </c>
      <c r="AS15" s="37">
        <f>AS14-(AH14*AT15)</f>
        <v>8.8485350383201489E-2</v>
      </c>
      <c r="AT15" s="38">
        <f>(AF15-(AH14*AF14+AI14*AF13+AJ14*AF12+AK14*AF11+AL14*AF10+AM14*AF9+AN14*AF8+AO14*AF7+AP14*AF6+AQ14*AF5+AR14*AF4+AS14*AF3))/(1-(AH14*AF3+AI14*AF4+AJ14*AF5+AK14*AF6+AL14*AF7+AM14*AF8+AN14*AF9+AO14*AF10+AP14*AF11+AQ14*AF12+AR14*AF13+AS14*AF14))</f>
        <v>-4.7960665210238222E-2</v>
      </c>
      <c r="AU15" s="37"/>
      <c r="AV15" s="37"/>
      <c r="AW15" s="37"/>
      <c r="AX15" s="37"/>
      <c r="AY15" s="43"/>
      <c r="AZ15" s="43"/>
      <c r="BA15" s="43"/>
    </row>
    <row r="16" spans="1:53">
      <c r="A16" s="36">
        <v>14</v>
      </c>
      <c r="B16" s="20">
        <v>3.345895516405756</v>
      </c>
      <c r="C16" s="32">
        <f t="shared" si="0"/>
        <v>1.5663527996748383</v>
      </c>
      <c r="D16" s="35">
        <f>SUMPRODUCT($C$3:INDEX($C$3:$C$52,ROWS(C17:$C$52)),C17:$C$52)</f>
        <v>9.7850075312844051</v>
      </c>
      <c r="E16" s="51">
        <f t="shared" si="1"/>
        <v>1.3919719031007579E-2</v>
      </c>
      <c r="F16" s="50">
        <f t="shared" si="2"/>
        <v>-0.48546773719202635</v>
      </c>
      <c r="G16" s="50">
        <f t="shared" si="3"/>
        <v>0.48546773719202635</v>
      </c>
      <c r="H16" s="37">
        <f>SQRT((1/COUNT($C$3:$C$52))*(1+2*SUMSQ($E$3:E16)))</f>
        <v>0.24768762101633998</v>
      </c>
      <c r="I16" s="37"/>
      <c r="J16" s="3">
        <f t="shared" si="4"/>
        <v>-5.372183300272431E-2</v>
      </c>
      <c r="K16" s="3">
        <f t="shared" si="5"/>
        <v>-0.27718585822512665</v>
      </c>
      <c r="L16" s="3">
        <f t="shared" si="6"/>
        <v>0.27718585822512665</v>
      </c>
      <c r="M16" s="39">
        <f t="shared" si="7"/>
        <v>0.1414213562373095</v>
      </c>
      <c r="N16" s="37"/>
      <c r="O16" s="37"/>
      <c r="P16" s="34">
        <v>13</v>
      </c>
      <c r="Q16" s="33">
        <f t="shared" si="9"/>
        <v>0.48113491501055972</v>
      </c>
      <c r="R16" s="32">
        <f t="shared" si="10"/>
        <v>0.46664511909219231</v>
      </c>
      <c r="S16" s="35">
        <f>SUMPRODUCT($R$4:INDEX($R$4:$R$53,ROWS($R17:R$53)),$R17:R$53)</f>
        <v>-42.594880862318554</v>
      </c>
      <c r="T16" s="49">
        <f t="shared" si="11"/>
        <v>-0.10285272346124281</v>
      </c>
      <c r="U16" s="47">
        <f t="shared" si="12"/>
        <v>-0.36719190725439083</v>
      </c>
      <c r="V16" s="47">
        <f t="shared" si="13"/>
        <v>0.36719190725439083</v>
      </c>
      <c r="W16" s="37">
        <f>SQRT((1/COUNT($R$4:$R$52))*(1+2*SUMSQ($T$4:T16)))</f>
        <v>0.1873428098236688</v>
      </c>
      <c r="Z16" s="48">
        <f t="shared" si="14"/>
        <v>-1.7231463230406509E-2</v>
      </c>
      <c r="AA16" s="47">
        <f t="shared" si="15"/>
        <v>-0.27999999999999997</v>
      </c>
      <c r="AB16" s="47">
        <f t="shared" si="16"/>
        <v>0.27999999999999997</v>
      </c>
      <c r="AC16" s="39">
        <f t="shared" si="17"/>
        <v>0.14285714285714285</v>
      </c>
      <c r="AE16" s="44">
        <v>14</v>
      </c>
      <c r="AF16" s="41">
        <f t="shared" si="8"/>
        <v>1.3919719031007579E-2</v>
      </c>
      <c r="AG16" s="40">
        <f>AU16</f>
        <v>-5.372183300272431E-2</v>
      </c>
      <c r="AH16" s="40">
        <f>AH15-(AT15*AU16)</f>
        <v>0.81975559599551118</v>
      </c>
      <c r="AI16" s="40">
        <f>AI15-(AS15*AU16)</f>
        <v>-0.17623488747419461</v>
      </c>
      <c r="AJ16" s="40">
        <f>AJ15-(AR15*AU16)</f>
        <v>0.27312208696626633</v>
      </c>
      <c r="AK16" s="37">
        <f>AK15-(AQ15*AU16)</f>
        <v>-0.2505777675756426</v>
      </c>
      <c r="AL16" s="37">
        <f>AL15-(AP15*AU16)</f>
        <v>-8.1836788053618863E-3</v>
      </c>
      <c r="AM16" s="37">
        <f>AM15-(AO15*AU16)</f>
        <v>0.23875087422819818</v>
      </c>
      <c r="AN16" s="37">
        <f>AN15-(AN15*AU16)</f>
        <v>-0.32596348199477126</v>
      </c>
      <c r="AO16" s="37">
        <f>AO15-(AM15*AU16)</f>
        <v>0.29601088527913594</v>
      </c>
      <c r="AP16" s="37">
        <f>AP15-(AL15*AU16)</f>
        <v>-0.22409204232926014</v>
      </c>
      <c r="AQ16" s="37">
        <f>AQ15-(AK15*AU16)</f>
        <v>2.245135064185478E-2</v>
      </c>
      <c r="AR16" s="37">
        <f>AR15-(AJ15*AU16)</f>
        <v>2.3110221050406644E-2</v>
      </c>
      <c r="AS16" s="37">
        <f>AS15-(AI15*AU16)</f>
        <v>7.8762317340676929E-2</v>
      </c>
      <c r="AT16" s="37">
        <f>AT15-(AH15*AU16)</f>
        <v>-3.7834758043357383E-3</v>
      </c>
      <c r="AU16" s="38">
        <f>(AF16-(AH15*AF15+AI15*AF14+AJ15*AF13+AK15*AF12+AL15*AF11+AM15*AF10+AN15*AF9+AO15*AF8+AP15*AF7+AQ15*AF6+AR15*AF5+AS15*AF4+AT15*AF3))/(1-(AH15*AF3+AI15*AF4+AJ15*AF5+AK15*AF6+AL15*AF7+AM15*AF8+AN15*AF9+AO15*AF10+AP15*AF11+AQ15*AF12+AR15*AF13+AS15*AF14+AT15*AF15))</f>
        <v>-5.372183300272431E-2</v>
      </c>
      <c r="AV16" s="37"/>
      <c r="AW16" s="37"/>
      <c r="AX16" s="37"/>
      <c r="AY16" s="43"/>
      <c r="AZ16" s="43"/>
      <c r="BA16" s="43"/>
    </row>
    <row r="17" spans="1:53">
      <c r="A17" s="36">
        <v>15</v>
      </c>
      <c r="B17" s="20">
        <v>1.8383547169013719</v>
      </c>
      <c r="C17" s="32">
        <f t="shared" si="0"/>
        <v>5.8812000170454182E-2</v>
      </c>
      <c r="D17" s="35">
        <f>SUMPRODUCT($C$3:INDEX($C$3:$C$52,ROWS(C18:$C$52)),C18:$C$52)</f>
        <v>21.178351551576966</v>
      </c>
      <c r="E17" s="51">
        <f t="shared" si="1"/>
        <v>3.0127386432288111E-2</v>
      </c>
      <c r="F17" s="50">
        <f t="shared" si="2"/>
        <v>-0.48561136563143015</v>
      </c>
      <c r="G17" s="50">
        <f t="shared" si="3"/>
        <v>0.48561136563143015</v>
      </c>
      <c r="H17" s="37">
        <f>SQRT((1/COUNT($C$3:$C$52))*(1+2*SUMSQ($E$3:E17)))</f>
        <v>0.24776090083236232</v>
      </c>
      <c r="I17" s="37"/>
      <c r="J17" s="3">
        <f t="shared" si="4"/>
        <v>0.10442496575142324</v>
      </c>
      <c r="K17" s="3">
        <f t="shared" si="5"/>
        <v>-0.27718585822512665</v>
      </c>
      <c r="L17" s="3">
        <f t="shared" si="6"/>
        <v>0.27718585822512665</v>
      </c>
      <c r="M17" s="39">
        <f t="shared" si="7"/>
        <v>0.1414213562373095</v>
      </c>
      <c r="N17" s="37"/>
      <c r="O17" s="37"/>
      <c r="P17" s="34">
        <v>14</v>
      </c>
      <c r="Q17" s="33">
        <f t="shared" si="9"/>
        <v>-1.5075407995043841</v>
      </c>
      <c r="R17" s="32">
        <f t="shared" si="10"/>
        <v>-1.5220305954227515</v>
      </c>
      <c r="S17" s="35">
        <f>SUMPRODUCT($R$4:INDEX($R$4:$R$53,ROWS($R18:R$53)),$R18:R$53)</f>
        <v>-4.2906948102910771</v>
      </c>
      <c r="T17" s="49">
        <f t="shared" si="11"/>
        <v>-1.0360626390901852E-2</v>
      </c>
      <c r="U17" s="47">
        <f t="shared" si="12"/>
        <v>-0.36721482550346135</v>
      </c>
      <c r="V17" s="47">
        <f t="shared" si="13"/>
        <v>0.36721482550346135</v>
      </c>
      <c r="W17" s="37">
        <f>SQRT((1/COUNT($R$4:$R$52))*(1+2*SUMSQ($T$4:T17)))</f>
        <v>0.18735450280788846</v>
      </c>
      <c r="Z17" s="48">
        <f t="shared" si="14"/>
        <v>-0.14984868598341647</v>
      </c>
      <c r="AA17" s="47">
        <f t="shared" si="15"/>
        <v>-0.27999999999999997</v>
      </c>
      <c r="AB17" s="47">
        <f t="shared" si="16"/>
        <v>0.27999999999999997</v>
      </c>
      <c r="AC17" s="39">
        <f t="shared" si="17"/>
        <v>0.14285714285714285</v>
      </c>
      <c r="AE17" s="44">
        <v>15</v>
      </c>
      <c r="AF17" s="41">
        <f t="shared" si="8"/>
        <v>3.0127386432288111E-2</v>
      </c>
      <c r="AG17" s="40">
        <f>AV17</f>
        <v>0.10442496575142324</v>
      </c>
      <c r="AH17" s="40">
        <f>AH16-(AU16*AV17)</f>
        <v>0.82536549656692437</v>
      </c>
      <c r="AI17" s="40">
        <f>AI16-(AT16*AV17)</f>
        <v>-0.17583979814290551</v>
      </c>
      <c r="AJ17" s="40">
        <f>AJ16-(AS16*AV17)</f>
        <v>0.26489733467546339</v>
      </c>
      <c r="AK17" s="37">
        <f>AK16-(AR16*AV17)</f>
        <v>-0.25299105161733915</v>
      </c>
      <c r="AL17" s="37">
        <f>AL16-(AQ16*AV17)</f>
        <v>-1.0528160327210765E-2</v>
      </c>
      <c r="AM17" s="37">
        <f>AM16-(AP16*AV17)</f>
        <v>0.26215167807359768</v>
      </c>
      <c r="AN17" s="37">
        <f>AN16-(AO16*AV17)</f>
        <v>-0.35687440855209351</v>
      </c>
      <c r="AO17" s="37">
        <f>AO16-(AN16*AV17)</f>
        <v>0.3300496107226546</v>
      </c>
      <c r="AP17" s="37">
        <f>AP16-(AM16*AV17)</f>
        <v>-0.2490235941936621</v>
      </c>
      <c r="AQ17" s="37">
        <f>AQ16-(AL16*AV17)</f>
        <v>2.3305931020825343E-2</v>
      </c>
      <c r="AR17" s="37">
        <f>AR16-(AK16*AV17)</f>
        <v>4.9276795847561214E-2</v>
      </c>
      <c r="AS17" s="37">
        <f>AS16-(AJ16*AV17)</f>
        <v>5.0241552763267333E-2</v>
      </c>
      <c r="AT17" s="37">
        <f>AT16-(AI16*AV17)</f>
        <v>1.4619846284362963E-2</v>
      </c>
      <c r="AU17" s="37">
        <f>AU16-(AH16*AV17)</f>
        <v>-0.1393247830390931</v>
      </c>
      <c r="AV17" s="38">
        <f>(AF17-(AH16*AF16+AI16*AF15+AJ16*AF14+AK16*AF13+AL16*AF12+AM16*AF11+AN16*AF10+AO16*AF9+AP16*AF8+AQ16*AF7+AR16*AF6+AS16*AF5+AT16*AF4+AU16*AF3))/(1-(AH16*AF3+AI16*AF4+AJ16*AF5+AK16*AF6+AL16*AF7+AM16*AF8+AN16*AF9+AO16*AF10+AP16*AF11+AQ16*AF12+AR16*AF13+AS16*AF14+AT16*AF15+AU16*AF16))</f>
        <v>0.10442496575142324</v>
      </c>
      <c r="AW17" s="37"/>
      <c r="AX17" s="37"/>
      <c r="AY17" s="43"/>
      <c r="AZ17" s="43"/>
      <c r="BA17" s="43"/>
    </row>
    <row r="18" spans="1:53">
      <c r="A18" s="36">
        <v>16</v>
      </c>
      <c r="B18" s="20">
        <v>4.535340490896175</v>
      </c>
      <c r="C18" s="32">
        <f t="shared" si="0"/>
        <v>2.7557977741652575</v>
      </c>
      <c r="D18" s="35">
        <f>SUMPRODUCT($C$3:INDEX($C$3:$C$52,ROWS(C19:$C$52)),C19:$C$52)</f>
        <v>41.498952709844914</v>
      </c>
      <c r="E18" s="51">
        <f t="shared" si="1"/>
        <v>5.9034575083897506E-2</v>
      </c>
      <c r="F18" s="50">
        <f t="shared" si="2"/>
        <v>-0.48616245219649545</v>
      </c>
      <c r="G18" s="50">
        <f t="shared" si="3"/>
        <v>0.48616245219649545</v>
      </c>
      <c r="H18" s="37">
        <f>SQRT((1/COUNT($C$3:$C$52))*(1+2*SUMSQ($E$3:E18)))</f>
        <v>0.24804206744719157</v>
      </c>
      <c r="I18" s="37"/>
      <c r="J18" s="3">
        <f t="shared" si="4"/>
        <v>6.6177400349948456E-2</v>
      </c>
      <c r="K18" s="3">
        <f t="shared" si="5"/>
        <v>-0.27718585822512665</v>
      </c>
      <c r="L18" s="3">
        <f t="shared" si="6"/>
        <v>0.27718585822512665</v>
      </c>
      <c r="M18" s="39">
        <f t="shared" si="7"/>
        <v>0.1414213562373095</v>
      </c>
      <c r="N18" s="37"/>
      <c r="O18" s="37"/>
      <c r="P18" s="34">
        <v>15</v>
      </c>
      <c r="Q18" s="33">
        <f t="shared" si="9"/>
        <v>2.6969857739948031</v>
      </c>
      <c r="R18" s="32">
        <f t="shared" si="10"/>
        <v>2.6824959780764357</v>
      </c>
      <c r="S18" s="35">
        <f>SUMPRODUCT($R$4:INDEX($R$4:$R$53,ROWS($R19:R$53)),$R19:R$53)</f>
        <v>-4.6782693715132702</v>
      </c>
      <c r="T18" s="49">
        <f t="shared" si="11"/>
        <v>-1.1296492353172063E-2</v>
      </c>
      <c r="U18" s="47">
        <f t="shared" si="12"/>
        <v>-0.36724206925880493</v>
      </c>
      <c r="V18" s="47">
        <f t="shared" si="13"/>
        <v>0.36724206925880493</v>
      </c>
      <c r="W18" s="37">
        <f>SQRT((1/COUNT($R$4:$R$52))*(1+2*SUMSQ($T$4:T18)))</f>
        <v>0.18736840268306373</v>
      </c>
      <c r="Z18" s="48">
        <f t="shared" si="14"/>
        <v>-0.10483463853500861</v>
      </c>
      <c r="AA18" s="47">
        <f t="shared" si="15"/>
        <v>-0.27999999999999997</v>
      </c>
      <c r="AB18" s="47">
        <f t="shared" si="16"/>
        <v>0.27999999999999997</v>
      </c>
      <c r="AC18" s="39">
        <f t="shared" si="17"/>
        <v>0.14285714285714285</v>
      </c>
      <c r="AE18" s="44">
        <v>16</v>
      </c>
      <c r="AF18" s="41">
        <f t="shared" si="8"/>
        <v>5.9034575083897506E-2</v>
      </c>
      <c r="AG18" s="40">
        <f>AW18</f>
        <v>6.6177400349948456E-2</v>
      </c>
      <c r="AH18" s="40">
        <f>AH17-(AV17*AW18)</f>
        <v>0.8184549238018628</v>
      </c>
      <c r="AI18" s="40">
        <f>AI17-(AU17*AW18)</f>
        <v>-0.16661964619705774</v>
      </c>
      <c r="AJ18" s="40">
        <f>AJ17-(AT17*AW18)</f>
        <v>0.26392983125484842</v>
      </c>
      <c r="AK18" s="37">
        <f>AK17-(AS17*AW18)</f>
        <v>-0.25631590696875695</v>
      </c>
      <c r="AL18" s="37">
        <f>AL17-(AR17*AW18)</f>
        <v>-1.3789170573977501E-2</v>
      </c>
      <c r="AM18" s="37">
        <f>AM17-(AQ17*AW18)</f>
        <v>0.26060935214590425</v>
      </c>
      <c r="AN18" s="37">
        <f>AN17-(AP17*AW18)</f>
        <v>-0.34039467446255645</v>
      </c>
      <c r="AO18" s="37">
        <f>AO17-(AO17*AW18)</f>
        <v>0.30820778549851685</v>
      </c>
      <c r="AP18" s="37">
        <f>AP17-(AN17*AW18)</f>
        <v>-0.22540657358425914</v>
      </c>
      <c r="AQ18" s="37">
        <f>AQ17-(AM17*AW18)</f>
        <v>5.9574144685380637E-3</v>
      </c>
      <c r="AR18" s="37">
        <f>AR17-(AL17*AW18)</f>
        <v>4.9973522128483487E-2</v>
      </c>
      <c r="AS18" s="37">
        <f>AS17-(AK17*AW18)</f>
        <v>6.6983842871102456E-2</v>
      </c>
      <c r="AT18" s="37">
        <f>AT17-(AJ17*AW18)</f>
        <v>-2.9103706840894611E-3</v>
      </c>
      <c r="AU18" s="37">
        <f>AU17-(AI17*AW18)</f>
        <v>-0.12768816231993591</v>
      </c>
      <c r="AV18" s="37">
        <f>AV17-(AH17*AW18)</f>
        <v>4.9804422850079876E-2</v>
      </c>
      <c r="AW18" s="38">
        <f>(AF18-(AH17*AF17+AI17*AF16+AJ17*AF15+AK17*AF14+AL17*AF13+AM17*AF12+AN17*AF11+AO17*AF10+AP17*AF9+AQ17*AF8+AR17*AF7+AS17*AF6+AT17*AF5+AU17*AF4+AV17*AF3))/(1-(AH17*AF3+AI17*AF4+AJ17*AF5+AK17*AF6+AL17*AF7+AM17*AF8+AN17*AF9+AO17*AF10+AP17*AF11+AQ17*AF12+AR17*AF13+AS17*AF14+AT17*AF15+AU17*AF16+AV17*AF17))</f>
        <v>6.6177400349948456E-2</v>
      </c>
      <c r="AX18" s="37"/>
      <c r="AY18" s="43"/>
      <c r="AZ18" s="43"/>
      <c r="BA18" s="43"/>
    </row>
    <row r="19" spans="1:53">
      <c r="A19" s="36">
        <v>17</v>
      </c>
      <c r="B19" s="20">
        <v>0.91413563801271902</v>
      </c>
      <c r="C19" s="32">
        <f t="shared" si="0"/>
        <v>-0.86540707871819866</v>
      </c>
      <c r="D19" s="35">
        <f>SUMPRODUCT($C$3:INDEX($C$3:$C$52,ROWS(C20:$C$52)),C20:$C$52)</f>
        <v>68.416330933630221</v>
      </c>
      <c r="E19" s="51">
        <f t="shared" si="1"/>
        <v>9.7326047086195647E-2</v>
      </c>
      <c r="F19" s="50">
        <f t="shared" si="2"/>
        <v>-0.48765714448464381</v>
      </c>
      <c r="G19" s="50">
        <f t="shared" si="3"/>
        <v>0.48765714448464381</v>
      </c>
      <c r="H19" s="37">
        <f>SQRT((1/COUNT($C$3:$C$52))*(1+2*SUMSQ($E$3:E19)))</f>
        <v>0.2488046655533897</v>
      </c>
      <c r="I19" s="37"/>
      <c r="J19" s="3">
        <f t="shared" si="4"/>
        <v>-2.608068429162334E-3</v>
      </c>
      <c r="K19" s="3">
        <f t="shared" si="5"/>
        <v>-0.27718585822512665</v>
      </c>
      <c r="L19" s="3">
        <f t="shared" si="6"/>
        <v>0.27718585822512665</v>
      </c>
      <c r="M19" s="39">
        <f t="shared" si="7"/>
        <v>0.1414213562373095</v>
      </c>
      <c r="N19" s="37"/>
      <c r="O19" s="37"/>
      <c r="P19" s="34">
        <v>16</v>
      </c>
      <c r="Q19" s="33">
        <f t="shared" si="9"/>
        <v>-3.6212048528834559</v>
      </c>
      <c r="R19" s="32">
        <f t="shared" si="10"/>
        <v>-3.6356946488018234</v>
      </c>
      <c r="S19" s="35">
        <f>SUMPRODUCT($R$4:INDEX($R$4:$R$53,ROWS($R20:R$53)),$R20:R$53)</f>
        <v>-8.7774126061013629</v>
      </c>
      <c r="T19" s="49">
        <f t="shared" si="11"/>
        <v>-2.1194584259988214E-2</v>
      </c>
      <c r="U19" s="47">
        <f t="shared" si="12"/>
        <v>-0.36733795560017374</v>
      </c>
      <c r="V19" s="47">
        <f t="shared" si="13"/>
        <v>0.36733795560017374</v>
      </c>
      <c r="W19" s="37">
        <f>SQRT((1/COUNT($R$4:$R$52))*(1+2*SUMSQ($T$4:T19)))</f>
        <v>0.18741732428580293</v>
      </c>
      <c r="Z19" s="48">
        <f t="shared" si="14"/>
        <v>-3.8546459666535124E-2</v>
      </c>
      <c r="AA19" s="47">
        <f t="shared" si="15"/>
        <v>-0.27999999999999997</v>
      </c>
      <c r="AB19" s="47">
        <f t="shared" si="16"/>
        <v>0.27999999999999997</v>
      </c>
      <c r="AC19" s="39">
        <f t="shared" si="17"/>
        <v>0.14285714285714285</v>
      </c>
      <c r="AE19" s="44">
        <v>17</v>
      </c>
      <c r="AF19" s="41">
        <f t="shared" si="8"/>
        <v>9.7326047086195647E-2</v>
      </c>
      <c r="AG19" s="40">
        <f>AX19</f>
        <v>-2.608068429162334E-3</v>
      </c>
      <c r="AH19" s="40">
        <f>AH18-(AW18*AX19)</f>
        <v>0.81862751899043951</v>
      </c>
      <c r="AI19" s="40">
        <f>AI18-(AV18*AX19)</f>
        <v>-0.16648975285418979</v>
      </c>
      <c r="AJ19" s="40">
        <f>AJ18-(AU18*AX19)</f>
        <v>0.26359681178992406</v>
      </c>
      <c r="AK19" s="37">
        <f>AK18-(AT18*AX19)</f>
        <v>-0.25632349741465527</v>
      </c>
      <c r="AL19" s="37">
        <f>AL18-(AS18*AX19)</f>
        <v>-1.3614472128121408E-2</v>
      </c>
      <c r="AM19" s="37">
        <f>AM18-(AR18*AX19)</f>
        <v>0.26073968651126161</v>
      </c>
      <c r="AN19" s="37">
        <f>AN18-(AQ18*AX19)</f>
        <v>-0.34037913711796164</v>
      </c>
      <c r="AO19" s="37">
        <f>AO18-(AP18*AX19)</f>
        <v>0.30761990973022607</v>
      </c>
      <c r="AP19" s="37">
        <f>AP18-(AO18*AX19)</f>
        <v>-0.22460274658927842</v>
      </c>
      <c r="AQ19" s="37">
        <f>AQ18-(AN18*AX19)</f>
        <v>5.0696418646172803E-3</v>
      </c>
      <c r="AR19" s="37">
        <f>AR18-(AM18*AX19)</f>
        <v>5.0653209152159671E-2</v>
      </c>
      <c r="AS19" s="37">
        <f>AS18-(AL18*AX19)</f>
        <v>6.6947879770664132E-2</v>
      </c>
      <c r="AT19" s="37">
        <f>AT18-(AK18*AX19)</f>
        <v>-3.5788601089467862E-3</v>
      </c>
      <c r="AU19" s="37">
        <f>AU18-(AJ18*AX19)</f>
        <v>-0.126999815259526</v>
      </c>
      <c r="AV19" s="37">
        <f>AV18-(AI18*AX19)</f>
        <v>4.9369867411155129E-2</v>
      </c>
      <c r="AW19" s="37">
        <f>AW18-(AH18*AX19)</f>
        <v>6.8311986797408561E-2</v>
      </c>
      <c r="AX19" s="38">
        <f>(AF19-(AH18*AF18+AI18*AF17+AJ18*AF16+AK18*AF15+AL18*AF14+AM18*AF13+AN18*AF12+AO18*AF11+AP18*AF10+AQ18*AF9+AR18*AF8+AS18*AF7+AT18*AF6+AU18*AF5+AV18*AF4+AW18*AF3))/(1-(AH18*AF3+AI18*AF4+AJ18*AF5+AK18*AF6+AL18*AF7+AM18*AF8+AN18*AF9+AO18*AF10+AP18*AF11+AQ18*AF12+AR18*AF13+AS18*AF14+AT18*AF15+AU18*AF16+AV18*AF17+AW18*AF18))</f>
        <v>-2.608068429162334E-3</v>
      </c>
      <c r="AY19" s="43"/>
      <c r="AZ19" s="43"/>
      <c r="BA19" s="43"/>
    </row>
    <row r="20" spans="1:53">
      <c r="A20" s="36">
        <v>18</v>
      </c>
      <c r="B20" s="20">
        <v>1.7656540318667853</v>
      </c>
      <c r="C20" s="32">
        <f t="shared" si="0"/>
        <v>-1.3888684864132417E-2</v>
      </c>
      <c r="D20" s="35">
        <f>SUMPRODUCT($C$3:INDEX($C$3:$C$52,ROWS(C21:$C$52)),C21:$C$52)</f>
        <v>62.52141260167879</v>
      </c>
      <c r="E20" s="51">
        <f t="shared" si="1"/>
        <v>8.8940196934404414E-2</v>
      </c>
      <c r="F20" s="50">
        <f t="shared" si="2"/>
        <v>-0.48890185918602252</v>
      </c>
      <c r="G20" s="50">
        <f t="shared" si="3"/>
        <v>0.48890185918602252</v>
      </c>
      <c r="H20" s="37">
        <f>SQRT((1/COUNT($C$3:$C$52))*(1+2*SUMSQ($E$3:E20)))</f>
        <v>0.2494397240745013</v>
      </c>
      <c r="I20" s="37"/>
      <c r="J20" s="3">
        <f t="shared" si="4"/>
        <v>2.1199531290187666E-2</v>
      </c>
      <c r="K20" s="3">
        <f t="shared" si="5"/>
        <v>-0.27718585822512665</v>
      </c>
      <c r="L20" s="3">
        <f t="shared" si="6"/>
        <v>0.27718585822512665</v>
      </c>
      <c r="M20" s="39">
        <f t="shared" si="7"/>
        <v>0.1414213562373095</v>
      </c>
      <c r="N20" s="37"/>
      <c r="O20" s="37"/>
      <c r="P20" s="34">
        <v>17</v>
      </c>
      <c r="Q20" s="33">
        <f t="shared" si="9"/>
        <v>0.85151839385406625</v>
      </c>
      <c r="R20" s="32">
        <f t="shared" si="10"/>
        <v>0.83702859793569884</v>
      </c>
      <c r="S20" s="35">
        <f>SUMPRODUCT($R$4:INDEX($R$4:$R$53,ROWS($R21:R$53)),$R21:R$53)</f>
        <v>24.482481539477835</v>
      </c>
      <c r="T20" s="49">
        <f t="shared" si="11"/>
        <v>5.9117195598321709E-2</v>
      </c>
      <c r="U20" s="47">
        <f t="shared" si="12"/>
        <v>-0.36808309520809501</v>
      </c>
      <c r="V20" s="47">
        <f t="shared" si="13"/>
        <v>0.36808309520809501</v>
      </c>
      <c r="W20" s="37">
        <f>SQRT((1/COUNT($R$4:$R$52))*(1+2*SUMSQ($T$4:T20)))</f>
        <v>0.18779749755515052</v>
      </c>
      <c r="Z20" s="48">
        <f t="shared" si="14"/>
        <v>-2.2925008978743205E-2</v>
      </c>
      <c r="AA20" s="47">
        <f t="shared" si="15"/>
        <v>-0.27999999999999997</v>
      </c>
      <c r="AB20" s="47">
        <f t="shared" si="16"/>
        <v>0.27999999999999997</v>
      </c>
      <c r="AC20" s="39">
        <f t="shared" si="17"/>
        <v>0.14285714285714285</v>
      </c>
      <c r="AE20" s="42">
        <v>18</v>
      </c>
      <c r="AF20" s="41">
        <f t="shared" si="8"/>
        <v>8.8940196934404414E-2</v>
      </c>
      <c r="AG20" s="40">
        <f>AX20</f>
        <v>2.1199531290187666E-2</v>
      </c>
      <c r="AH20" s="40">
        <f>AH19-(AX19*AY20)</f>
        <v>0.81855167027076936</v>
      </c>
      <c r="AI20" s="40">
        <f>AI19-(AW19*AY20)</f>
        <v>-0.16450308077198092</v>
      </c>
      <c r="AJ20" s="40">
        <f>AJ19-(AV19*AY20)</f>
        <v>0.26503260281118324</v>
      </c>
      <c r="AK20" s="37">
        <f>AK19-(AU19*AY20)</f>
        <v>-0.26001694858260399</v>
      </c>
      <c r="AL20" s="37">
        <f>AL19-(AT19*AY20)</f>
        <v>-1.3718553736604874E-2</v>
      </c>
      <c r="AM20" s="37">
        <f>AM19-(AS19*AY20)</f>
        <v>0.26268668717598975</v>
      </c>
      <c r="AN20" s="37">
        <f>AN19-(AR19*AY20)</f>
        <v>-0.33890602352231519</v>
      </c>
      <c r="AO20" s="37">
        <f>AO19-(AQ19*AY20)</f>
        <v>0.30776734675308859</v>
      </c>
      <c r="AP20" s="37">
        <f>AP19-(AP19*AY20)</f>
        <v>-0.23113471889978487</v>
      </c>
      <c r="AQ20" s="37">
        <f>AQ19-(AO19*AY20)</f>
        <v>1.4015947121483845E-2</v>
      </c>
      <c r="AR20" s="37">
        <f>AR19-(AN19*AY20)</f>
        <v>4.0754189071188246E-2</v>
      </c>
      <c r="AS20" s="37">
        <f>AS19-(AM19*AY20)</f>
        <v>7.4530798672613988E-2</v>
      </c>
      <c r="AT20" s="37">
        <f>AT19-(AL19*AY20)</f>
        <v>-3.974800747756837E-3</v>
      </c>
      <c r="AU20" s="37">
        <f>AU19-(AK19*AY20)</f>
        <v>-0.13445430107089684</v>
      </c>
      <c r="AV20" s="37">
        <f>AV19-(AJ19*AY20)</f>
        <v>5.7035878187497772E-2</v>
      </c>
      <c r="AW20" s="37">
        <f>AW19-(AI19*AY20)</f>
        <v>6.3470076036560616E-2</v>
      </c>
      <c r="AX20" s="39">
        <f>AX19-(AH19*AY20)</f>
        <v>2.1199531290187666E-2</v>
      </c>
      <c r="AY20" s="38">
        <f>(AF20-(AH19*AF19+AI19*AF18+AJ19*AF17+AK19*AF16+AL19*AF15+AM19*AF14+AN19*AF13+AO19*AF12+AP19*AF11+AQ19*AF10+AR19*AF9+AS19*AF8+AT19*AF7+AU19*AF6+AV19*AF5+AW19*AF4+AX19*AF3))/(1-(AH19*AF3+AI19*AF4+AJ19*AF5+AK19*AF6+AL19*AF7+AM19*AF8+AN19*AF9+AO19*AF10+AP19*AF11+AQ19*AF12+AR19*AF13+AS19*AF14+AT19*AF15+AU19*AF16+AV19*AF17+AW19*AF18+AX19*AF19))</f>
        <v>-2.9082334965614614E-2</v>
      </c>
      <c r="AZ20" s="43"/>
      <c r="BA20" s="43"/>
    </row>
    <row r="21" spans="1:53">
      <c r="A21" s="36">
        <v>19</v>
      </c>
      <c r="B21" s="20">
        <v>2.4062615234113913</v>
      </c>
      <c r="C21" s="32">
        <f t="shared" si="0"/>
        <v>0.62671880668047364</v>
      </c>
      <c r="D21" s="35">
        <f>SUMPRODUCT($C$3:INDEX($C$3:$C$52,ROWS(C22:$C$52)),C22:$C$52)</f>
        <v>-7.7562682464059778</v>
      </c>
      <c r="E21" s="51">
        <f t="shared" si="1"/>
        <v>-1.1033724233110049E-2</v>
      </c>
      <c r="F21" s="50">
        <f t="shared" si="2"/>
        <v>-0.48892099100235753</v>
      </c>
      <c r="G21" s="50">
        <f t="shared" si="3"/>
        <v>0.48892099100235753</v>
      </c>
      <c r="H21" s="37">
        <f>SQRT((1/COUNT($C$3:$C$52))*(1+2*SUMSQ($E$3:E21)))</f>
        <v>0.24944948520528445</v>
      </c>
      <c r="I21" s="37"/>
      <c r="J21" s="3">
        <f t="shared" si="4"/>
        <v>-1.4498822102356673E-2</v>
      </c>
      <c r="K21" s="3">
        <f t="shared" si="5"/>
        <v>-0.27718585822512665</v>
      </c>
      <c r="L21" s="3">
        <f t="shared" si="6"/>
        <v>0.27718585822512665</v>
      </c>
      <c r="M21" s="39">
        <f t="shared" si="7"/>
        <v>0.1414213562373095</v>
      </c>
      <c r="N21" s="37"/>
      <c r="P21" s="34">
        <v>18</v>
      </c>
      <c r="Q21" s="33">
        <f t="shared" si="9"/>
        <v>0.64060749154460606</v>
      </c>
      <c r="R21" s="32">
        <f t="shared" si="10"/>
        <v>0.62611769562623865</v>
      </c>
      <c r="S21" s="35">
        <f>SUMPRODUCT($R$4:INDEX($R$4:$R$53,ROWS($R22:R$53)),$R22:R$53)</f>
        <v>70.847890732287908</v>
      </c>
      <c r="T21" s="49">
        <f t="shared" si="11"/>
        <v>0.17107451331661525</v>
      </c>
      <c r="U21" s="47">
        <f t="shared" si="12"/>
        <v>-0.37426481329384065</v>
      </c>
      <c r="V21" s="47">
        <f t="shared" si="13"/>
        <v>0.37426481329384065</v>
      </c>
      <c r="W21" s="37">
        <f>SQRT((1/COUNT($R$4:$R$52))*(1+2*SUMSQ($T$4:T21)))</f>
        <v>0.19095143535400033</v>
      </c>
      <c r="Z21" s="48">
        <f t="shared" si="14"/>
        <v>-2.3050699688338186E-3</v>
      </c>
      <c r="AA21" s="47">
        <f t="shared" si="15"/>
        <v>-0.27999999999999997</v>
      </c>
      <c r="AB21" s="47">
        <f t="shared" si="16"/>
        <v>0.27999999999999997</v>
      </c>
      <c r="AC21" s="39">
        <f t="shared" si="17"/>
        <v>0.14285714285714285</v>
      </c>
      <c r="AE21" s="42">
        <v>19</v>
      </c>
      <c r="AF21" s="41">
        <f t="shared" si="8"/>
        <v>-1.1033724233110049E-2</v>
      </c>
      <c r="AG21" s="40">
        <f>AX21</f>
        <v>-1.4498822102356673E-2</v>
      </c>
      <c r="AH21" s="40">
        <f>AH20-(AY20*AZ21)</f>
        <v>0.81224059411212945</v>
      </c>
      <c r="AI21" s="40">
        <f>AI20-(AX20*AZ21)</f>
        <v>-0.15990262978831568</v>
      </c>
      <c r="AJ21" s="40">
        <f>AJ20-(AW20*AZ21)</f>
        <v>0.27880606646652606</v>
      </c>
      <c r="AK21" s="37">
        <f>AK20-(AV20*AZ21)</f>
        <v>-0.24763975220405321</v>
      </c>
      <c r="AL21" s="37">
        <f>AL20-(AU20*AZ21)</f>
        <v>-4.2896105501908685E-2</v>
      </c>
      <c r="AM21" s="37">
        <f>AM20-(AT20*AZ21)</f>
        <v>0.26182412678446093</v>
      </c>
      <c r="AN21" s="37">
        <f>AN20-(AR20*AZ21)</f>
        <v>-0.33006207095399559</v>
      </c>
      <c r="AO21" s="37">
        <f>AO20-(AR20*AZ21)</f>
        <v>0.31661129932140819</v>
      </c>
      <c r="AP21" s="37">
        <f>AP20-(AQ20*AZ21)</f>
        <v>-0.22809315742187261</v>
      </c>
      <c r="AQ21" s="37">
        <f>AQ20-(AP20*AZ21)</f>
        <v>-3.6141951671961089E-2</v>
      </c>
      <c r="AR21" s="37">
        <f>AR20-(AO20*AZ21)</f>
        <v>0.10754192007001596</v>
      </c>
      <c r="AS21" s="37">
        <f>AS20-(AN20*AZ21)</f>
        <v>9.8575053256592937E-4</v>
      </c>
      <c r="AT21" s="37">
        <f>AT20-(AM20*AZ21)</f>
        <v>5.3030102420734165E-2</v>
      </c>
      <c r="AU21" s="37">
        <f>AU20-(AL20*AZ21)</f>
        <v>-0.13743132604225741</v>
      </c>
      <c r="AV21" s="37">
        <f>AV20-(AK20*AZ21)</f>
        <v>6.1032752307629834E-4</v>
      </c>
      <c r="AW21" s="37">
        <f>AW20-(AJ20*AZ21)</f>
        <v>0.1209840597947964</v>
      </c>
      <c r="AX21" s="39">
        <f>AX20-(AI20*AZ21)</f>
        <v>-1.4498822102356673E-2</v>
      </c>
      <c r="AY21" s="39">
        <f>AY20-(AH20*AZ21)</f>
        <v>0.14854927325871251</v>
      </c>
      <c r="AZ21" s="38">
        <f>(AF21-(AH20*AF20+AI20*AF19+AJ20*AF18+AK20*AF17+AL20*AF16+AM20*AF15+AN20*AF14+AO20*AF13+AP20*AF12+AQ20*AF11+AR20*AF10+AS20*AF9+AT20*AF8+AU20*AF7+AV20*AF6+AW20*AF5+AX20*AF4+AY20*AF3))/(1-(AH20*AF3+AI20*AF4+AJ20*AF5+AK20*AF6+AL20*AF7+AM20*AF8+AN20*AF9+AO20*AF10+AP20*AF11+AQ20*AF12+AR20*AF13+AS20*AF14+AT20*AF15+AU20*AF16+AV20*AF17+AW20*AF18+AX20*AF19+AY20*AF20))</f>
        <v>-0.2170072026920038</v>
      </c>
      <c r="BA21" s="43"/>
    </row>
    <row r="22" spans="1:53">
      <c r="A22" s="36">
        <v>20</v>
      </c>
      <c r="B22" s="20">
        <v>4.962504573630425</v>
      </c>
      <c r="C22" s="32">
        <f t="shared" si="0"/>
        <v>3.1829618568995075</v>
      </c>
      <c r="D22" s="35">
        <f>SUMPRODUCT($C$3:INDEX($C$3:$C$52,ROWS(C23:$C$52)),C23:$C$52)</f>
        <v>-9.2450402918698078</v>
      </c>
      <c r="E22" s="51">
        <f t="shared" si="1"/>
        <v>-1.3151585513013913E-2</v>
      </c>
      <c r="F22" s="50">
        <f t="shared" si="2"/>
        <v>-0.48894817088704567</v>
      </c>
      <c r="G22" s="50">
        <f t="shared" si="3"/>
        <v>0.48894817088704567</v>
      </c>
      <c r="H22" s="37">
        <f>SQRT((1/COUNT($C$3:$C$52))*(1+2*SUMSQ($E$3:E22)))</f>
        <v>0.24946335249339066</v>
      </c>
      <c r="I22" s="37"/>
      <c r="J22" s="3">
        <f t="shared" si="4"/>
        <v>0.16797820399100891</v>
      </c>
      <c r="K22" s="3">
        <f t="shared" si="5"/>
        <v>-0.27718585822512665</v>
      </c>
      <c r="L22" s="3">
        <f t="shared" si="6"/>
        <v>0.27718585822512665</v>
      </c>
      <c r="M22" s="39">
        <f t="shared" si="7"/>
        <v>0.1414213562373095</v>
      </c>
      <c r="N22" s="37"/>
      <c r="P22" s="34">
        <v>19</v>
      </c>
      <c r="Q22" s="33">
        <f t="shared" si="9"/>
        <v>2.5562430502190336</v>
      </c>
      <c r="R22" s="32">
        <f t="shared" si="10"/>
        <v>2.5417532543006662</v>
      </c>
      <c r="S22" s="35">
        <f>SUMPRODUCT($R$4:INDEX($R$4:$R$53,ROWS($R23:R$53)),$R23:R$53)</f>
        <v>-64.418718177961026</v>
      </c>
      <c r="T22" s="49">
        <f t="shared" si="11"/>
        <v>-0.15555016171783487</v>
      </c>
      <c r="U22" s="47">
        <f t="shared" si="12"/>
        <v>-0.37929943341712369</v>
      </c>
      <c r="V22" s="47">
        <f t="shared" si="13"/>
        <v>0.37929943341712369</v>
      </c>
      <c r="W22" s="37">
        <f>SQRT((1/COUNT($R$4:$R$52))*(1+2*SUMSQ($T$4:T22)))</f>
        <v>0.19352011909036923</v>
      </c>
      <c r="Z22" s="48">
        <f t="shared" si="14"/>
        <v>-5.1369699112283007E-2</v>
      </c>
      <c r="AA22" s="47">
        <f t="shared" si="15"/>
        <v>-0.27999999999999997</v>
      </c>
      <c r="AB22" s="47">
        <f t="shared" si="16"/>
        <v>0.27999999999999997</v>
      </c>
      <c r="AC22" s="39">
        <f t="shared" si="17"/>
        <v>0.14285714285714285</v>
      </c>
      <c r="AE22" s="42">
        <v>20</v>
      </c>
      <c r="AF22" s="41">
        <f t="shared" si="8"/>
        <v>-1.3151585513013913E-2</v>
      </c>
      <c r="AG22" s="40">
        <f>AX22</f>
        <v>0.16797820399100891</v>
      </c>
      <c r="AH22" s="40">
        <f>AH21-(AZ21*BA22)</f>
        <v>0.67021058203263495</v>
      </c>
      <c r="AI22" s="40">
        <f>AI21-(AY21*BA22)</f>
        <v>-6.2677953309351511E-2</v>
      </c>
      <c r="AJ22" s="40">
        <f>AJ21-(AX21*BA22)</f>
        <v>0.2693166677148226</v>
      </c>
      <c r="AK22" s="37">
        <f>AK21-(AW21*AI22)</f>
        <v>-0.24005671895305916</v>
      </c>
      <c r="AL22" s="37">
        <f>AL21-(AV21*BA22)</f>
        <v>-4.2496649518883066E-2</v>
      </c>
      <c r="AM22" s="37">
        <f>AM21-(AU21*BA22)</f>
        <v>0.17187608517228262</v>
      </c>
      <c r="AN22" s="37">
        <f>AN21-(AR21*BA22)</f>
        <v>-0.25967647998227611</v>
      </c>
      <c r="AO22" s="37">
        <f>AO21-(AS21*BA22)</f>
        <v>0.31725646758453913</v>
      </c>
      <c r="AP22" s="37">
        <f>AP21-(AR21*BA22)</f>
        <v>-0.15770756645015313</v>
      </c>
      <c r="AQ22" s="37">
        <f>AQ21-(AQ21*BA22)</f>
        <v>-5.9796658837744432E-2</v>
      </c>
      <c r="AR22" s="37">
        <f>AR21-(AP21*BA22)</f>
        <v>-4.1743787971011817E-2</v>
      </c>
      <c r="AS22" s="37">
        <f>AS21-(AO21*BA22)</f>
        <v>0.20820609211241264</v>
      </c>
      <c r="AT22" s="37">
        <f>AT21-(AN21*BA22)</f>
        <v>-0.16299369468388766</v>
      </c>
      <c r="AU22" s="37">
        <f>AU21-(AM21*BA22)</f>
        <v>3.3931114598383799E-2</v>
      </c>
      <c r="AV22" s="37">
        <f>AV21-(AL21*BA22)</f>
        <v>-2.74649359106745E-2</v>
      </c>
      <c r="AW22" s="37">
        <f>AW21-(AK21*BA22)</f>
        <v>-4.1094786255416876E-2</v>
      </c>
      <c r="AX22" s="39">
        <f>AX21-(AJ21*BA22)</f>
        <v>0.16797820399100891</v>
      </c>
      <c r="AY22" s="39">
        <f>AY21-(AH21*BA22)</f>
        <v>0.6801562428067901</v>
      </c>
      <c r="AZ22" s="39">
        <f>AZ21-(AH21*BA22)</f>
        <v>0.31459976685607383</v>
      </c>
      <c r="BA22" s="38">
        <f>(AF22-(AH21*AF21+AI21*AF20+AJ21*AF19+AK21*AF18+AL21*AF17+AM21*AF16+AN21*AF15+AO21*AF14+AP21*AF13+AQ21*AF12+AR21*AF11+AS21*AF10+AT21*AF9+AU21*AF8+AV21*AF7+AW21*AF6+AX21*AF5+AY21*AF4)+AZ21*AF3)/(1-(AH21*AF3+AI21*AF4+AJ21*AF5+AK21*AF6+AL21*AF7+AM21*AF8+AN21*AF9+AO21*AF10+AP21*AF11+AQ21*AF12+AR21*AF13+AS21*AF14+AT21*AF15+AU21*AF16+AV21*AF17+AW21*AF18+AX21*AF19+AY21*AF20+AZ21*AF21))</f>
        <v>-0.65449446063353178</v>
      </c>
    </row>
    <row r="23" spans="1:53">
      <c r="A23" s="36">
        <v>21</v>
      </c>
      <c r="B23" s="20">
        <v>1.2850018151585152</v>
      </c>
      <c r="C23" s="32">
        <f t="shared" si="0"/>
        <v>-0.49454090157240249</v>
      </c>
      <c r="D23" s="32"/>
      <c r="P23" s="34">
        <v>20</v>
      </c>
      <c r="Q23" s="33">
        <f t="shared" si="9"/>
        <v>-3.6775027584719098</v>
      </c>
      <c r="R23" s="32">
        <f t="shared" si="10"/>
        <v>-3.6919925543902772</v>
      </c>
      <c r="S23" s="35">
        <f>SUMPRODUCT($R$4:INDEX($R$4:$R$53,ROWS($R24:R$53)),$R24:R$53)</f>
        <v>-8.1861064800904426</v>
      </c>
      <c r="T23" s="49">
        <f t="shared" si="11"/>
        <v>-1.9766773118641837E-2</v>
      </c>
      <c r="U23" s="47">
        <f t="shared" si="12"/>
        <v>-0.37938018651565397</v>
      </c>
      <c r="V23" s="47">
        <f t="shared" si="13"/>
        <v>0.37938018651565397</v>
      </c>
      <c r="W23" s="37">
        <f>SQRT((1/COUNT($R$4:$R$52))*(1+2*SUMSQ($T$4:T23)))</f>
        <v>0.19356131965084386</v>
      </c>
      <c r="Z23" s="48">
        <f t="shared" si="14"/>
        <v>-5.1009040468670691E-2</v>
      </c>
      <c r="AA23" s="47">
        <f t="shared" si="15"/>
        <v>-0.27999999999999997</v>
      </c>
      <c r="AB23" s="47">
        <f t="shared" si="16"/>
        <v>0.27999999999999997</v>
      </c>
      <c r="AC23" s="39">
        <f t="shared" si="17"/>
        <v>0.14285714285714285</v>
      </c>
    </row>
    <row r="24" spans="1:53">
      <c r="A24" s="36">
        <v>22</v>
      </c>
      <c r="B24" s="20">
        <v>2.1140007203459419</v>
      </c>
      <c r="C24" s="32">
        <f t="shared" si="0"/>
        <v>0.3344580036150242</v>
      </c>
      <c r="D24" s="32"/>
      <c r="P24" s="34">
        <v>21</v>
      </c>
      <c r="Q24" s="33">
        <f t="shared" si="9"/>
        <v>0.82899890518742669</v>
      </c>
      <c r="R24" s="32">
        <f t="shared" si="10"/>
        <v>0.81450910926905928</v>
      </c>
      <c r="S24" s="35"/>
      <c r="V24" s="37"/>
    </row>
    <row r="25" spans="1:53">
      <c r="A25" s="36">
        <v>23</v>
      </c>
      <c r="B25" s="20">
        <v>2.7456002858513884</v>
      </c>
      <c r="C25" s="32">
        <f t="shared" si="0"/>
        <v>0.96605756912047069</v>
      </c>
      <c r="D25" s="32"/>
      <c r="P25" s="34">
        <v>22</v>
      </c>
      <c r="Q25" s="33">
        <f t="shared" si="9"/>
        <v>0.63159956550544649</v>
      </c>
      <c r="R25" s="32">
        <f t="shared" si="10"/>
        <v>0.61710976958707908</v>
      </c>
      <c r="S25" s="35"/>
      <c r="V25" s="37"/>
    </row>
    <row r="26" spans="1:53" ht="18">
      <c r="A26" s="36">
        <v>24</v>
      </c>
      <c r="B26" s="20">
        <v>1.2982401134257575</v>
      </c>
      <c r="C26" s="32">
        <f t="shared" si="0"/>
        <v>-0.48130260330516017</v>
      </c>
      <c r="D26" s="32"/>
      <c r="P26" s="34">
        <v>23</v>
      </c>
      <c r="Q26" s="33">
        <f t="shared" si="9"/>
        <v>-1.4473601724256309</v>
      </c>
      <c r="R26" s="32">
        <f t="shared" si="10"/>
        <v>-1.4618499683439983</v>
      </c>
      <c r="S26" s="35"/>
      <c r="V26" s="37"/>
      <c r="AE26" s="46" t="s">
        <v>48</v>
      </c>
      <c r="AF26" s="46" t="s">
        <v>47</v>
      </c>
      <c r="AG26" s="46" t="s">
        <v>46</v>
      </c>
      <c r="AH26" s="46" t="s">
        <v>45</v>
      </c>
      <c r="AI26" s="46" t="s">
        <v>44</v>
      </c>
      <c r="AJ26" s="46" t="s">
        <v>43</v>
      </c>
      <c r="AK26" s="46" t="s">
        <v>42</v>
      </c>
      <c r="AL26" s="46" t="s">
        <v>41</v>
      </c>
      <c r="AM26" s="46" t="s">
        <v>40</v>
      </c>
      <c r="AN26" s="46" t="s">
        <v>39</v>
      </c>
      <c r="AO26" s="46" t="s">
        <v>38</v>
      </c>
      <c r="AP26" s="46" t="s">
        <v>37</v>
      </c>
      <c r="AQ26" s="46" t="s">
        <v>36</v>
      </c>
      <c r="AR26" s="46" t="s">
        <v>35</v>
      </c>
      <c r="AS26" s="46" t="s">
        <v>34</v>
      </c>
      <c r="AT26" s="46" t="s">
        <v>33</v>
      </c>
      <c r="AU26" s="46" t="s">
        <v>32</v>
      </c>
      <c r="AV26" s="46" t="s">
        <v>31</v>
      </c>
      <c r="AW26" s="46" t="s">
        <v>30</v>
      </c>
      <c r="AX26" s="46" t="s">
        <v>29</v>
      </c>
      <c r="AY26" s="46" t="s">
        <v>28</v>
      </c>
      <c r="AZ26" s="46" t="s">
        <v>27</v>
      </c>
      <c r="BA26" s="46" t="s">
        <v>26</v>
      </c>
    </row>
    <row r="27" spans="1:53">
      <c r="A27" s="36">
        <v>25</v>
      </c>
      <c r="B27" s="20">
        <v>1.9296045004381313E-2</v>
      </c>
      <c r="C27" s="32">
        <f t="shared" si="0"/>
        <v>-1.7602466717265364</v>
      </c>
      <c r="D27" s="32"/>
      <c r="P27" s="34">
        <v>24</v>
      </c>
      <c r="Q27" s="33">
        <f t="shared" si="9"/>
        <v>-1.2789440684213762</v>
      </c>
      <c r="R27" s="32">
        <f t="shared" si="10"/>
        <v>-1.2934338643397436</v>
      </c>
      <c r="S27" s="35"/>
      <c r="V27" s="37"/>
      <c r="AE27" s="44">
        <v>1</v>
      </c>
      <c r="AF27" s="41">
        <f t="shared" ref="AF27:AF46" si="18">T4</f>
        <v>-0.14775995664735794</v>
      </c>
      <c r="AG27" s="37">
        <f>AH27</f>
        <v>-0.14775995664735794</v>
      </c>
      <c r="AH27" s="38">
        <f>AF27</f>
        <v>-0.14775995664735794</v>
      </c>
      <c r="AI27" s="37"/>
      <c r="AJ27" s="37"/>
      <c r="AK27" s="37"/>
      <c r="AL27" s="37"/>
      <c r="AM27" s="40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43"/>
      <c r="AZ27" s="43"/>
      <c r="BA27" s="43"/>
    </row>
    <row r="28" spans="1:53">
      <c r="A28" s="36">
        <v>26</v>
      </c>
      <c r="B28" s="20">
        <v>0.8077184178553809</v>
      </c>
      <c r="C28" s="32">
        <f t="shared" si="0"/>
        <v>-0.97182429887553679</v>
      </c>
      <c r="D28" s="32"/>
      <c r="P28" s="34">
        <v>25</v>
      </c>
      <c r="Q28" s="33">
        <f t="shared" si="9"/>
        <v>0.78842237285099959</v>
      </c>
      <c r="R28" s="32">
        <f t="shared" si="10"/>
        <v>0.77393257693263218</v>
      </c>
      <c r="S28" s="35"/>
      <c r="V28" s="37"/>
      <c r="AE28" s="44">
        <v>2</v>
      </c>
      <c r="AF28" s="41">
        <f t="shared" si="18"/>
        <v>-0.20736815845039902</v>
      </c>
      <c r="AG28" s="37">
        <f>AI28</f>
        <v>-0.2343170075874963</v>
      </c>
      <c r="AH28" s="37">
        <f>AH27-(AH27*AI28)</f>
        <v>-0.18238262753022505</v>
      </c>
      <c r="AI28" s="38">
        <f>(AF28-(AH27*AF27))/(1-(AH27*AF27))</f>
        <v>-0.2343170075874963</v>
      </c>
      <c r="AJ28" s="37"/>
      <c r="AK28" s="37"/>
      <c r="AL28" s="37"/>
      <c r="AM28" s="40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43"/>
      <c r="AZ28" s="43"/>
      <c r="BA28" s="43"/>
    </row>
    <row r="29" spans="1:53">
      <c r="A29" s="36">
        <v>27</v>
      </c>
      <c r="B29" s="20">
        <v>-0.57691263291639938</v>
      </c>
      <c r="C29" s="32">
        <f t="shared" si="0"/>
        <v>-2.3564553496473168</v>
      </c>
      <c r="D29" s="32"/>
      <c r="P29" s="34">
        <v>26</v>
      </c>
      <c r="Q29" s="33">
        <f t="shared" si="9"/>
        <v>-1.3846310507717803</v>
      </c>
      <c r="R29" s="32">
        <f t="shared" si="10"/>
        <v>-1.3991208466901477</v>
      </c>
      <c r="S29" s="35"/>
      <c r="V29" s="37"/>
      <c r="AE29" s="44">
        <v>3</v>
      </c>
      <c r="AF29" s="41">
        <f t="shared" si="18"/>
        <v>0.19019261541793583</v>
      </c>
      <c r="AG29" s="37">
        <f>AJ29</f>
        <v>0.12737104241324604</v>
      </c>
      <c r="AH29" s="37">
        <f>AH28-(AI28*AJ29)</f>
        <v>-0.15253742601865317</v>
      </c>
      <c r="AI29" s="37">
        <f>AI28-(AH28*AJ29)</f>
        <v>-0.21108674220090473</v>
      </c>
      <c r="AJ29" s="38">
        <f>(AF29-(AH28*AF28+AI28*AF27))/(1-(AH28*AF27+AI28*AF28))</f>
        <v>0.12737104241324604</v>
      </c>
      <c r="AK29" s="37"/>
      <c r="AL29" s="37"/>
      <c r="AM29" s="40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43"/>
      <c r="AZ29" s="43"/>
      <c r="BA29" s="43"/>
    </row>
    <row r="30" spans="1:53">
      <c r="A30" s="36">
        <v>28</v>
      </c>
      <c r="B30" s="20">
        <v>-1.8307650531899835</v>
      </c>
      <c r="C30" s="32">
        <f t="shared" si="0"/>
        <v>-3.610307769920901</v>
      </c>
      <c r="D30" s="32"/>
      <c r="P30" s="34">
        <v>27</v>
      </c>
      <c r="Q30" s="33">
        <f t="shared" si="9"/>
        <v>-1.2538524202735841</v>
      </c>
      <c r="R30" s="32">
        <f t="shared" si="10"/>
        <v>-1.2683422161919515</v>
      </c>
      <c r="S30" s="35"/>
      <c r="V30" s="37"/>
      <c r="AE30" s="44">
        <v>4</v>
      </c>
      <c r="AF30" s="41">
        <f t="shared" si="18"/>
        <v>-0.21219808837982135</v>
      </c>
      <c r="AG30" s="40">
        <f>AK30</f>
        <v>-0.22885905161243128</v>
      </c>
      <c r="AH30" s="40">
        <f>AH29-(AJ29*AK30)</f>
        <v>-0.12338741004907092</v>
      </c>
      <c r="AI30" s="40">
        <f>AI29-(AI29*AK30)</f>
        <v>-0.25939585382896158</v>
      </c>
      <c r="AJ30" s="40">
        <f>AJ29-(AH29*AK30)</f>
        <v>9.246147175921568E-2</v>
      </c>
      <c r="AK30" s="38">
        <f>(AF30-(AH29*AF29+AI29*AF28+AJ29*AF27))/(1-(AH29*AF27+AI29*AF28+AJ29*AF29))</f>
        <v>-0.22885905161243128</v>
      </c>
      <c r="AL30" s="37"/>
      <c r="AM30" s="40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43"/>
      <c r="AZ30" s="43"/>
      <c r="BA30" s="43"/>
    </row>
    <row r="31" spans="1:53">
      <c r="A31" s="36">
        <v>29</v>
      </c>
      <c r="B31" s="20">
        <v>-3.0323060212853661</v>
      </c>
      <c r="C31" s="32">
        <f t="shared" si="0"/>
        <v>-4.811848738016284</v>
      </c>
      <c r="D31" s="32"/>
      <c r="P31" s="34">
        <v>28</v>
      </c>
      <c r="Q31" s="33">
        <f t="shared" si="9"/>
        <v>-1.2015409680953826</v>
      </c>
      <c r="R31" s="32">
        <f t="shared" si="10"/>
        <v>-1.21603076401375</v>
      </c>
      <c r="S31" s="35"/>
      <c r="V31" s="37"/>
      <c r="AE31" s="44">
        <v>5</v>
      </c>
      <c r="AF31" s="41">
        <f t="shared" si="18"/>
        <v>-0.11172781109599152</v>
      </c>
      <c r="AG31" s="40">
        <f>AL31</f>
        <v>-0.11976605372778258</v>
      </c>
      <c r="AH31" s="40">
        <f>AH30-(AK30*AL31)</f>
        <v>-0.15079695552057473</v>
      </c>
      <c r="AI31" s="40">
        <f>AI30-(AJ30*AL31)</f>
        <v>-0.24832210823449749</v>
      </c>
      <c r="AJ31" s="40">
        <f>AJ30-(AI30*AL31)</f>
        <v>6.1394653992772233E-2</v>
      </c>
      <c r="AK31" s="37">
        <f>AK30-(AH30*AL31)</f>
        <v>-0.24363667479370024</v>
      </c>
      <c r="AL31" s="38">
        <f>(AF31-(AH30*AF30+AI30*AF29+AJ30*AF28+AK30*AF27))/(1-(AH30*AF27+AI30*AF28+AJ30*AF29+AK30*AF30))</f>
        <v>-0.11976605372778258</v>
      </c>
      <c r="AM31" s="40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43"/>
      <c r="AZ31" s="43"/>
      <c r="BA31" s="43"/>
    </row>
    <row r="32" spans="1:53">
      <c r="A32" s="36">
        <v>30</v>
      </c>
      <c r="B32" s="20">
        <v>-6.2129224085178993</v>
      </c>
      <c r="C32" s="32">
        <f t="shared" si="0"/>
        <v>-7.9924651252488168</v>
      </c>
      <c r="D32" s="32"/>
      <c r="P32" s="34">
        <v>29</v>
      </c>
      <c r="Q32" s="33">
        <f t="shared" si="9"/>
        <v>-3.1806163872325333</v>
      </c>
      <c r="R32" s="32">
        <f t="shared" si="10"/>
        <v>-3.1951061831509007</v>
      </c>
      <c r="S32" s="35"/>
      <c r="V32" s="37"/>
      <c r="AE32" s="44">
        <v>6</v>
      </c>
      <c r="AF32" s="41">
        <f t="shared" si="18"/>
        <v>0.24486771824525294</v>
      </c>
      <c r="AG32" s="40">
        <f>AM32</f>
        <v>0.11234116596202119</v>
      </c>
      <c r="AH32" s="40">
        <f>AH31-(AL31*AM32)</f>
        <v>-0.13734229740212556</v>
      </c>
      <c r="AI32" s="40">
        <f>AI31-(AK31*AM32)</f>
        <v>-0.22095168011706343</v>
      </c>
      <c r="AJ32" s="40">
        <f>AJ31-(AJ31*AM32)</f>
        <v>5.4497506979389342E-2</v>
      </c>
      <c r="AK32" s="37">
        <f>AK31-(AI31*AM32)</f>
        <v>-0.21573987962048957</v>
      </c>
      <c r="AL32" s="37">
        <f>AL31-(AH31*AM32)</f>
        <v>-0.10282534792107817</v>
      </c>
      <c r="AM32" s="45">
        <f>(AF32-(AH31*AF31+AI31*AF30+AJ31*AF29+AK31*AF28+AL31*AF27))/(1-(AH31*AF27+AI31*AF28+AJ31*AF29+AK31*AF30+AL31*AF31))</f>
        <v>0.11234116596202119</v>
      </c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43"/>
      <c r="AZ32" s="43"/>
      <c r="BA32" s="43"/>
    </row>
    <row r="33" spans="1:53">
      <c r="A33" s="36">
        <v>31</v>
      </c>
      <c r="B33" s="20">
        <v>-1.1851689634086644</v>
      </c>
      <c r="C33" s="32">
        <f t="shared" si="0"/>
        <v>-2.9647116801395823</v>
      </c>
      <c r="D33" s="32"/>
      <c r="P33" s="34">
        <v>30</v>
      </c>
      <c r="Q33" s="33">
        <f t="shared" si="9"/>
        <v>5.0277534451092354</v>
      </c>
      <c r="R33" s="32">
        <f t="shared" si="10"/>
        <v>5.0132636491908684</v>
      </c>
      <c r="S33" s="35"/>
      <c r="V33" s="37"/>
      <c r="AE33" s="44">
        <v>7</v>
      </c>
      <c r="AF33" s="41">
        <f t="shared" si="18"/>
        <v>-0.24717810932101456</v>
      </c>
      <c r="AG33" s="40">
        <f>AN33</f>
        <v>-0.22695857926700613</v>
      </c>
      <c r="AH33" s="40">
        <f>AH32-(AM32*AN33)</f>
        <v>-0.11184550598218627</v>
      </c>
      <c r="AI33" s="40">
        <f>AI32-(AL32*AN33)</f>
        <v>-0.24428877499386692</v>
      </c>
      <c r="AJ33" s="40">
        <f>AJ32-(AK32*AN33)</f>
        <v>5.5334904094880982E-3</v>
      </c>
      <c r="AK33" s="37">
        <f>AK32-(AJ32*AN33)</f>
        <v>-0.20337120286285362</v>
      </c>
      <c r="AL33" s="37">
        <f>AL32-(AI32*AN33)</f>
        <v>-0.15297222732710489</v>
      </c>
      <c r="AM33" s="37">
        <f>AM32-(AH32*AN33)</f>
        <v>8.1170153270368139E-2</v>
      </c>
      <c r="AN33" s="38">
        <f>(AF33-(AH32*AF32+AI32*AF31+AJ32*AF30+AK32*AF29+AL32*AF28+AM32*AF27))/(1-(AH32*AF27+AI32*AF28+AJ32*AF29+AK32*AF30+AL32*AF31+AM32*AF32))</f>
        <v>-0.22695857926700613</v>
      </c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43"/>
      <c r="AZ33" s="43"/>
      <c r="BA33" s="43"/>
    </row>
    <row r="34" spans="1:53">
      <c r="A34" s="36">
        <v>32</v>
      </c>
      <c r="B34" s="20">
        <v>-2.8740675853640711</v>
      </c>
      <c r="C34" s="32">
        <f t="shared" si="0"/>
        <v>-4.6536103020949886</v>
      </c>
      <c r="D34" s="32"/>
      <c r="P34" s="34">
        <v>31</v>
      </c>
      <c r="Q34" s="33">
        <f t="shared" si="9"/>
        <v>-1.6888986219554067</v>
      </c>
      <c r="R34" s="32">
        <f t="shared" si="10"/>
        <v>-1.7033884178737742</v>
      </c>
      <c r="S34" s="35"/>
      <c r="V34" s="37"/>
      <c r="AE34" s="44">
        <v>8</v>
      </c>
      <c r="AF34" s="41">
        <f t="shared" si="18"/>
        <v>4.7059199572631501E-2</v>
      </c>
      <c r="AG34" s="40">
        <f>AO34</f>
        <v>6.1701367644729978E-2</v>
      </c>
      <c r="AH34" s="40">
        <f>AH33-(AN33*AO34)</f>
        <v>-9.784185124270714E-2</v>
      </c>
      <c r="AI34" s="40">
        <f>AI33-(AM33*AO34)</f>
        <v>-0.24929708446258098</v>
      </c>
      <c r="AJ34" s="40">
        <f>AJ33-(AL33*AO34)</f>
        <v>1.4972086047231006E-2</v>
      </c>
      <c r="AK34" s="37">
        <f>AK33-(AK33*AO34)</f>
        <v>-0.19082292150666172</v>
      </c>
      <c r="AL34" s="37">
        <f>AL33-(AJ33*AO34)</f>
        <v>-0.1533136512532193</v>
      </c>
      <c r="AM34" s="37">
        <f>AM33-(AI33*AO34)</f>
        <v>9.6243104787745448E-2</v>
      </c>
      <c r="AN34" s="37">
        <f>AN33-(AH33*AO34)</f>
        <v>-0.22005755858298842</v>
      </c>
      <c r="AO34" s="38">
        <f>(AF34-(AH33*AF33+AI33*AF32+AJ33*AF31+AK33*AF30+AL33*AF29+AM33*AF28+AN33*AF27))/(1-(AH33*AF27+AI33*AF28+AJ33*AF29+AK33*AF30+AL33*AF31+AM33*AF32+AN33*AF33))</f>
        <v>6.1701367644729978E-2</v>
      </c>
      <c r="AP34" s="37"/>
      <c r="AQ34" s="37"/>
      <c r="AR34" s="37"/>
      <c r="AS34" s="37"/>
      <c r="AT34" s="37"/>
      <c r="AU34" s="37"/>
      <c r="AV34" s="37"/>
      <c r="AW34" s="37"/>
      <c r="AX34" s="37"/>
      <c r="AY34" s="43"/>
      <c r="AZ34" s="43"/>
      <c r="BA34" s="43"/>
    </row>
    <row r="35" spans="1:53">
      <c r="A35" s="36">
        <v>33</v>
      </c>
      <c r="B35" s="20">
        <v>-6.2496270341458739</v>
      </c>
      <c r="C35" s="32">
        <f t="shared" ref="C35:C52" si="19">B35-AVERAGE($B$3:$B$52)</f>
        <v>-8.0291697508767914</v>
      </c>
      <c r="D35" s="32"/>
      <c r="P35" s="34">
        <v>32</v>
      </c>
      <c r="Q35" s="33">
        <f t="shared" si="9"/>
        <v>-3.3755594487818028</v>
      </c>
      <c r="R35" s="32">
        <f t="shared" si="10"/>
        <v>-3.3900492447001702</v>
      </c>
      <c r="S35" s="35"/>
      <c r="V35" s="37"/>
      <c r="AE35" s="44">
        <v>9</v>
      </c>
      <c r="AF35" s="41">
        <f t="shared" si="18"/>
        <v>6.467977371630633E-2</v>
      </c>
      <c r="AG35" s="40">
        <f>AP35</f>
        <v>-0.13208176922036657</v>
      </c>
      <c r="AH35" s="40">
        <f>AH34-(AO34*AP35)</f>
        <v>-8.969222544087492E-2</v>
      </c>
      <c r="AI35" s="40">
        <f>AI34-(AN34*AP35)</f>
        <v>-0.27836267613053656</v>
      </c>
      <c r="AJ35" s="40">
        <f>AJ34-(AM34*AP35)</f>
        <v>2.768404560285756E-2</v>
      </c>
      <c r="AK35" s="37">
        <f>AK34-(AL34*AP35)</f>
        <v>-0.21107285980982118</v>
      </c>
      <c r="AL35" s="37">
        <f>AL34-(AK34*AP35)</f>
        <v>-0.17851788033361832</v>
      </c>
      <c r="AM35" s="37">
        <f>AM34-(AJ34*AP35)</f>
        <v>9.8220644401783283E-2</v>
      </c>
      <c r="AN35" s="37">
        <f>AN34-(AI34*AP35)</f>
        <v>-0.25298515856028525</v>
      </c>
      <c r="AO35" s="37">
        <f>AO34-(AH34*AP35)</f>
        <v>4.8778242828797294E-2</v>
      </c>
      <c r="AP35" s="38">
        <f>(AF35-(AH34*AF34+AI34*AF33+AJ34*AF32+AK34*AF31+AL34*AF30+AM34*AF29+AN34*AF28+AO34*AF27))/(1-(AH34*AF27+AI34*AF28+AJ34*AF29+AK34*AF30+AL34*AF31+AM34*AF32+AN34*AF33+AO34*AF34))</f>
        <v>-0.13208176922036657</v>
      </c>
      <c r="AQ35" s="37"/>
      <c r="AR35" s="37"/>
      <c r="AS35" s="37"/>
      <c r="AT35" s="37"/>
      <c r="AU35" s="37"/>
      <c r="AV35" s="37"/>
      <c r="AW35" s="37"/>
      <c r="AX35" s="37"/>
      <c r="AY35" s="43"/>
      <c r="AZ35" s="43"/>
      <c r="BA35" s="43"/>
    </row>
    <row r="36" spans="1:53">
      <c r="A36" s="36">
        <v>34</v>
      </c>
      <c r="B36" s="20">
        <v>-1.2998508136584519</v>
      </c>
      <c r="C36" s="32">
        <f t="shared" si="19"/>
        <v>-3.0793935303893694</v>
      </c>
      <c r="D36" s="32"/>
      <c r="P36" s="34">
        <v>33</v>
      </c>
      <c r="Q36" s="33">
        <f t="shared" ref="Q36:Q53" si="20">B36-B35</f>
        <v>4.9497762204874221</v>
      </c>
      <c r="R36" s="32">
        <f t="shared" ref="R36:R53" si="21">Q36-AVERAGE($Q$4:$Q$52)</f>
        <v>4.9352864245690551</v>
      </c>
      <c r="S36" s="35"/>
      <c r="V36" s="37"/>
      <c r="AE36" s="44">
        <v>10</v>
      </c>
      <c r="AF36" s="41">
        <f t="shared" si="18"/>
        <v>-0.20466285631481446</v>
      </c>
      <c r="AG36" s="40">
        <f>AQ36</f>
        <v>-0.11252631430978571</v>
      </c>
      <c r="AH36" s="40">
        <f>AH35-(AP35*AQ36)</f>
        <v>-0.10455490011875847</v>
      </c>
      <c r="AI36" s="40">
        <f>AI35-(AO35*AQ36)</f>
        <v>-0.27287384024650424</v>
      </c>
      <c r="AJ36" s="40">
        <f>AJ35-(AN35*AQ36)</f>
        <v>-7.8344186500807489E-4</v>
      </c>
      <c r="AK36" s="37">
        <f>AK35-(AM35*AQ36)</f>
        <v>-0.20002045270615643</v>
      </c>
      <c r="AL36" s="37">
        <f>AL35-(AL35*AQ36)</f>
        <v>-0.19860583944595578</v>
      </c>
      <c r="AM36" s="37">
        <f>AM35-(AK35*AQ36)</f>
        <v>7.4469393436558007E-2</v>
      </c>
      <c r="AN36" s="37">
        <f>AN35-(AJ35*AQ36)</f>
        <v>-0.24986997494341165</v>
      </c>
      <c r="AO36" s="37">
        <f>AO35-(AI35*AQ36)</f>
        <v>1.7455116842419453E-2</v>
      </c>
      <c r="AP36" s="37">
        <f>AP35-(AH35*AQ36)</f>
        <v>-0.14217450477147062</v>
      </c>
      <c r="AQ36" s="38">
        <f>(AF36-(AH35*AF35+AI35*AF34+AJ35*AF33+AK35*AF32+AL35*AF31+AM35*AF30+AN35*AF29+AO35*AF28+AP35*AF27))/(1-(AH35*AF27+AI35*AF28+AJ35*AF29+AK35*AF30+AL35*AF31+AM35*AF32+AN35*AF33+AO35*AF34+AP35*AF35))</f>
        <v>-0.11252631430978571</v>
      </c>
      <c r="AR36" s="37"/>
      <c r="AS36" s="37"/>
      <c r="AT36" s="37"/>
      <c r="AU36" s="37"/>
      <c r="AV36" s="37"/>
      <c r="AW36" s="37"/>
      <c r="AX36" s="37"/>
      <c r="AY36" s="43"/>
      <c r="AZ36" s="43"/>
      <c r="BA36" s="43"/>
    </row>
    <row r="37" spans="1:53">
      <c r="A37" s="36">
        <v>35</v>
      </c>
      <c r="B37" s="20">
        <v>-1.0199403254634252</v>
      </c>
      <c r="C37" s="32">
        <f t="shared" si="19"/>
        <v>-2.7994830421943426</v>
      </c>
      <c r="D37" s="32"/>
      <c r="P37" s="34">
        <v>34</v>
      </c>
      <c r="Q37" s="33">
        <f t="shared" si="20"/>
        <v>0.27991048819502673</v>
      </c>
      <c r="R37" s="32">
        <f t="shared" si="21"/>
        <v>0.26542069227665932</v>
      </c>
      <c r="S37" s="35"/>
      <c r="V37" s="37"/>
      <c r="AE37" s="44">
        <v>11</v>
      </c>
      <c r="AF37" s="41">
        <f t="shared" si="18"/>
        <v>1.1682551443435385E-2</v>
      </c>
      <c r="AG37" s="40">
        <f>AR37</f>
        <v>-0.11311895824433384</v>
      </c>
      <c r="AH37" s="40">
        <f>AH36-(AQ36*AR37)</f>
        <v>-0.1172837595685559</v>
      </c>
      <c r="AI37" s="40">
        <f>AI36-(AP36*AR37)</f>
        <v>-0.28895647211515707</v>
      </c>
      <c r="AJ37" s="40">
        <f>AJ36-(AO36*AR37)</f>
        <v>1.1910627682395394E-3</v>
      </c>
      <c r="AK37" s="37">
        <f>AK36-(AN36*AR37)</f>
        <v>-0.22828548396829296</v>
      </c>
      <c r="AL37" s="37">
        <f>AL36-(AM36*AR37)</f>
        <v>-0.19018193923932492</v>
      </c>
      <c r="AM37" s="37">
        <f>AM36-(AL36*AR37)</f>
        <v>5.2003307777190061E-2</v>
      </c>
      <c r="AN37" s="37">
        <f>AN36-(AK36*AR37)</f>
        <v>-0.27249608018109212</v>
      </c>
      <c r="AO37" s="37">
        <f>AO36-(AJ36*AR37)</f>
        <v>1.7366494714804743E-2</v>
      </c>
      <c r="AP37" s="37">
        <f>AP36-(AI36*AR37)</f>
        <v>-0.17304170931228596</v>
      </c>
      <c r="AQ37" s="37">
        <f>AQ36-(AH36*AR37)</f>
        <v>-0.12435345569056004</v>
      </c>
      <c r="AR37" s="38">
        <f>(AF37-(AH36*AF36+AI36*AF35+AJ36*AF34+AK36*AF33+AL36*AF32+AM36*AF31+AN36*AF30+AO36*AF29+AP36*AF28+AQ36*AF27))/(1-(AH36*AF27+AI36*AF28+AJ36*AF29+AK36*AF30+AL36*AF31+AM36*AF32+AN36*AF33+AO36*AF34+AP36*AF35+AQ36*AF36))</f>
        <v>-0.11311895824433384</v>
      </c>
      <c r="AS37" s="37"/>
      <c r="AT37" s="37"/>
      <c r="AU37" s="37"/>
      <c r="AV37" s="37"/>
      <c r="AW37" s="37"/>
      <c r="AX37" s="37"/>
      <c r="AY37" s="43"/>
      <c r="AZ37" s="43"/>
      <c r="BA37" s="43"/>
    </row>
    <row r="38" spans="1:53">
      <c r="A38" s="36">
        <v>36</v>
      </c>
      <c r="B38" s="20">
        <v>-2.6079761301853921</v>
      </c>
      <c r="C38" s="32">
        <f t="shared" si="19"/>
        <v>-4.3875188469163096</v>
      </c>
      <c r="D38" s="32"/>
      <c r="P38" s="34">
        <v>35</v>
      </c>
      <c r="Q38" s="33">
        <f t="shared" si="20"/>
        <v>-1.5880358047219669</v>
      </c>
      <c r="R38" s="32">
        <f t="shared" si="21"/>
        <v>-1.6025256006403343</v>
      </c>
      <c r="S38" s="35"/>
      <c r="V38" s="37"/>
      <c r="AE38" s="44">
        <v>12</v>
      </c>
      <c r="AF38" s="41">
        <f t="shared" si="18"/>
        <v>0.14597368325436191</v>
      </c>
      <c r="AG38" s="40">
        <f>AS38</f>
        <v>3.6600657857219139E-3</v>
      </c>
      <c r="AH38" s="40">
        <f>AH37-(AR37*AS38)</f>
        <v>-0.1168697367397693</v>
      </c>
      <c r="AI38" s="40">
        <f>AI37-(AQ37*AS38)</f>
        <v>-0.28850133028664776</v>
      </c>
      <c r="AJ38" s="40">
        <f>AJ37-(AP37*AS38)</f>
        <v>1.8244068079962743E-3</v>
      </c>
      <c r="AK38" s="37">
        <f>AK37-(AO37*AS38)</f>
        <v>-0.22834904648141655</v>
      </c>
      <c r="AL38" s="37">
        <f>AL37-(AN37*AS38)</f>
        <v>-0.18918458565951077</v>
      </c>
      <c r="AM38" s="37">
        <f>AM37-(AM37*AS38)</f>
        <v>5.1812972249650403E-2</v>
      </c>
      <c r="AN38" s="37">
        <f>AN37-(AL37*AS38)</f>
        <v>-0.27180000177222002</v>
      </c>
      <c r="AO38" s="37">
        <f>AO37-(AK37*AS38)</f>
        <v>1.8202034604054059E-2</v>
      </c>
      <c r="AP38" s="37">
        <f>AP37-(AJ37*AS38)</f>
        <v>-0.17304606868037264</v>
      </c>
      <c r="AQ38" s="37">
        <f>AQ37-(AI37*AS38)</f>
        <v>-0.12329585599340845</v>
      </c>
      <c r="AR38" s="37">
        <f>AR37-(AH37*AS38)</f>
        <v>-0.11268969196871613</v>
      </c>
      <c r="AS38" s="38">
        <f>(AF38-(AH37*AF37+AI37*AF36+AJ37*AF35+AK37*AF34+AL37*AF33+AM37*AF32+AN37*AF31+AO37*AF30+AP37*AF29+AQ37*AF28+AR37*AF27))/(1-(AH37*AF27+AI37*AF28+AJ37*AF29+AK37*AF30+AL37*AF31+AM37*AF32+AN37*AF33+AO37*AF34+AP37*AF35+AQ37*AF36+AR37*AF37))</f>
        <v>3.6600657857219139E-3</v>
      </c>
      <c r="AT38" s="37"/>
      <c r="AU38" s="37"/>
      <c r="AV38" s="37"/>
      <c r="AW38" s="37"/>
      <c r="AX38" s="37"/>
      <c r="AY38" s="43"/>
      <c r="AZ38" s="43"/>
      <c r="BA38" s="43"/>
    </row>
    <row r="39" spans="1:53">
      <c r="A39" s="36">
        <v>37</v>
      </c>
      <c r="B39" s="20">
        <v>2.0568095479258304</v>
      </c>
      <c r="C39" s="32">
        <f t="shared" si="19"/>
        <v>0.27726683119491269</v>
      </c>
      <c r="D39" s="32"/>
      <c r="P39" s="34">
        <v>36</v>
      </c>
      <c r="Q39" s="33">
        <f t="shared" si="20"/>
        <v>4.6647856781112225</v>
      </c>
      <c r="R39" s="32">
        <f t="shared" si="21"/>
        <v>4.6502958821928555</v>
      </c>
      <c r="S39" s="35"/>
      <c r="V39" s="37"/>
      <c r="AE39" s="44">
        <v>13</v>
      </c>
      <c r="AF39" s="41">
        <f t="shared" si="18"/>
        <v>-0.10285272346124281</v>
      </c>
      <c r="AG39" s="40">
        <f>AT39</f>
        <v>-1.7231463230406509E-2</v>
      </c>
      <c r="AH39" s="40">
        <f>AH38-(AS38*AT39)</f>
        <v>-0.11680666845076176</v>
      </c>
      <c r="AI39" s="40">
        <f>AI38-(AR38*AT39)</f>
        <v>-0.2904431385702525</v>
      </c>
      <c r="AJ39" s="40">
        <f>AJ38-(AQ38*AT39)</f>
        <v>-3.0016120101563921E-4</v>
      </c>
      <c r="AK39" s="37">
        <f>AK38-(AP38*AT39)</f>
        <v>-0.2313308834510488</v>
      </c>
      <c r="AL39" s="37">
        <f>AL38-(AO38*AT39)</f>
        <v>-0.18887093796951243</v>
      </c>
      <c r="AM39" s="37">
        <f>AM38-(AN38*AT39)</f>
        <v>4.7129460513087973E-2</v>
      </c>
      <c r="AN39" s="37">
        <f>AN38-(AM38*AT39)</f>
        <v>-0.27090718844604211</v>
      </c>
      <c r="AO39" s="37">
        <f>AO38-(AL38*AT39)</f>
        <v>1.4942107372502509E-2</v>
      </c>
      <c r="AP39" s="37">
        <f>AP38-(AK38*AT39)</f>
        <v>-0.17698085687851556</v>
      </c>
      <c r="AQ39" s="37">
        <f>AQ38-(AJ38*AT39)</f>
        <v>-0.12326441879457915</v>
      </c>
      <c r="AR39" s="37">
        <f>AR38-(AI38*AT39)</f>
        <v>-0.11766099203347387</v>
      </c>
      <c r="AS39" s="37">
        <f>AS38-(AH38*AT39)</f>
        <v>1.6462292143432904E-3</v>
      </c>
      <c r="AT39" s="38">
        <f>(AF39-(AH38*AF38+AI38*AF37+AJ38*AF36+AK38*AF35+AL38*AF34+AM38*AF33+AN38*AF32+AO38*AF31+AP38*AF30+AQ38*AF29+AR38*AF28+AS38*AF27))/(1-(AH38*AF27+AI38*AF28+AJ38*AF29+AK38*AF30+AL38*AF31+AM38*AF32+AN38*AF33+AO38*AF34+AP38*AF35+AQ38*AF36+AR38*AF37+AS38*AF38))</f>
        <v>-1.7231463230406509E-2</v>
      </c>
      <c r="AU39" s="37"/>
      <c r="AV39" s="37"/>
      <c r="AW39" s="37"/>
      <c r="AX39" s="37"/>
      <c r="AY39" s="43"/>
      <c r="AZ39" s="43"/>
      <c r="BA39" s="43"/>
    </row>
    <row r="40" spans="1:53">
      <c r="A40" s="36">
        <v>38</v>
      </c>
      <c r="B40" s="20">
        <v>2.2227238191703229</v>
      </c>
      <c r="C40" s="32">
        <f t="shared" si="19"/>
        <v>0.44318110243940523</v>
      </c>
      <c r="D40" s="32"/>
      <c r="P40" s="34">
        <v>37</v>
      </c>
      <c r="Q40" s="33">
        <f t="shared" si="20"/>
        <v>0.16591427124449254</v>
      </c>
      <c r="R40" s="32">
        <f t="shared" si="21"/>
        <v>0.15142447532612516</v>
      </c>
      <c r="S40" s="35"/>
      <c r="V40" s="37"/>
      <c r="AE40" s="44">
        <v>14</v>
      </c>
      <c r="AF40" s="41">
        <f t="shared" si="18"/>
        <v>-1.0360626390901852E-2</v>
      </c>
      <c r="AG40" s="40">
        <f>AU40</f>
        <v>-0.14984868598341647</v>
      </c>
      <c r="AH40" s="40">
        <f>AH39-(AT39*AU40)</f>
        <v>-0.11938878057340974</v>
      </c>
      <c r="AI40" s="40">
        <f>AI39-(AS39*AU40)</f>
        <v>-0.29019645328565563</v>
      </c>
      <c r="AJ40" s="40">
        <f>AJ39-(AR39*AU40)</f>
        <v>-1.793150624873693E-2</v>
      </c>
      <c r="AK40" s="37">
        <f>AK39-(AQ39*AU40)</f>
        <v>-0.24980189463592603</v>
      </c>
      <c r="AL40" s="37">
        <f>AL39-(AP39*AU40)</f>
        <v>-0.21539128681697708</v>
      </c>
      <c r="AM40" s="37">
        <f>AM39-(AO39*AU40)</f>
        <v>4.9368515668680592E-2</v>
      </c>
      <c r="AN40" s="37">
        <f>AN39-(AN39*AU40)</f>
        <v>-0.31150227465814329</v>
      </c>
      <c r="AO40" s="37">
        <f>AO39-(AM39*AU40)</f>
        <v>2.2004395101496054E-2</v>
      </c>
      <c r="AP40" s="37">
        <f>AP39-(AL39*AU40)</f>
        <v>-0.20528291875370236</v>
      </c>
      <c r="AQ40" s="37">
        <f>AQ39-(AK39*AU40)</f>
        <v>-0.15792904770710167</v>
      </c>
      <c r="AR40" s="37">
        <f>AR39-(AJ39*AU40)</f>
        <v>-0.11770597079502927</v>
      </c>
      <c r="AS40" s="37">
        <f>AS39-(AI39*AU40)</f>
        <v>-4.1876293453308393E-2</v>
      </c>
      <c r="AT40" s="37">
        <f>AT39-(AH39*AU40)</f>
        <v>-3.4734789011853749E-2</v>
      </c>
      <c r="AU40" s="38">
        <f>(AF40-(AH39*AF39+AI39*AF38+AJ39*AF37+AK39*AF36+AL39*AF35+AM39*AF34+AN39*AF33+AO39*AF32+AP39*AF31+AQ39*AF30+AR39*AF29+AS39*AF28+AT39*AF27))/(1-(AH39*AF27+AI39*AF28+AJ39*AF29+AK39*AF30+AL39*AF31+AM39*AF32+AN39*AF33+AO39*AF34+AP39*AF35+AQ39*AF36+AR39*AF37+AS39*AF38+AT39*AF39))</f>
        <v>-0.14984868598341647</v>
      </c>
      <c r="AV40" s="37"/>
      <c r="AW40" s="37"/>
      <c r="AX40" s="37"/>
      <c r="AY40" s="43"/>
      <c r="AZ40" s="43"/>
      <c r="BA40" s="43"/>
    </row>
    <row r="41" spans="1:53">
      <c r="A41" s="36">
        <v>39</v>
      </c>
      <c r="B41" s="20">
        <v>0.58908952766812117</v>
      </c>
      <c r="C41" s="32">
        <f t="shared" si="19"/>
        <v>-1.1904531890627965</v>
      </c>
      <c r="D41" s="32"/>
      <c r="P41" s="34">
        <v>38</v>
      </c>
      <c r="Q41" s="33">
        <f t="shared" si="20"/>
        <v>-1.6336342915022017</v>
      </c>
      <c r="R41" s="32">
        <f t="shared" si="21"/>
        <v>-1.6481240874205692</v>
      </c>
      <c r="S41" s="35"/>
      <c r="V41" s="37"/>
      <c r="AE41" s="44">
        <v>15</v>
      </c>
      <c r="AF41" s="41">
        <f t="shared" si="18"/>
        <v>-1.1296492353172063E-2</v>
      </c>
      <c r="AG41" s="40">
        <f>AV41</f>
        <v>-0.10483463853500861</v>
      </c>
      <c r="AH41" s="40">
        <f>AH40-(AU40*AV41)</f>
        <v>-0.1350981134034272</v>
      </c>
      <c r="AI41" s="40">
        <f>AI40-(AT40*AV41)</f>
        <v>-0.2938378623363031</v>
      </c>
      <c r="AJ41" s="40">
        <f>AJ40-(AS40*AV41)</f>
        <v>-2.2321592336100461E-2</v>
      </c>
      <c r="AK41" s="37">
        <f>AK40-(AR40*AV41)</f>
        <v>-0.26214155753763518</v>
      </c>
      <c r="AL41" s="37">
        <f>AL40-(AQ40*AV41)</f>
        <v>-0.23194772144752923</v>
      </c>
      <c r="AM41" s="37">
        <f>AM40-(AP40*AV41)</f>
        <v>2.7847755083724664E-2</v>
      </c>
      <c r="AN41" s="37">
        <f>AN40-(AO40*AV41)</f>
        <v>-0.30919545185149644</v>
      </c>
      <c r="AO41" s="37">
        <f>AO40-(AN40*AV41)</f>
        <v>-1.0651833265123371E-2</v>
      </c>
      <c r="AP41" s="37">
        <f>AP40-(AM40*AV41)</f>
        <v>-0.20010738825856633</v>
      </c>
      <c r="AQ41" s="37">
        <f>AQ40-(AL40*AV41)</f>
        <v>-0.18050951540414983</v>
      </c>
      <c r="AR41" s="37">
        <f>AR40-(AK40*AV41)</f>
        <v>-0.14389386212454688</v>
      </c>
      <c r="AS41" s="37">
        <f>AS40-(AJ40*AV41)</f>
        <v>-4.3756136429282978E-2</v>
      </c>
      <c r="AT41" s="37">
        <f>AT40-(AI40*AV41)</f>
        <v>-6.5157429296196973E-2</v>
      </c>
      <c r="AU41" s="37">
        <f>AU40-(AH40*AV41)</f>
        <v>-0.16236476563996532</v>
      </c>
      <c r="AV41" s="38">
        <f>(AF41-(AH40*AF40+AI40*AF39+AJ40*AF38+AK40*AF37+AL40*AF36+AM40*AF35+AN40*AF34+AO40*AF33+AP40*AF32+AQ40*AF31+AR40*AF30+AS40*AF29+AT40*AF28+AU40*AF27))/(1-(AH40*AF27+AI40*AF28+AJ40*AF29+AK40*AF30+AL40*AF31+AM40*AF32+AN40*AF33+AO40*AF34+AP40*AF35+AQ40*AF36+AR40*AF37+AS40*AF38+AT40*AF39+AU40*AF40))</f>
        <v>-0.10483463853500861</v>
      </c>
      <c r="AW41" s="37"/>
      <c r="AX41" s="37"/>
      <c r="AY41" s="43"/>
      <c r="AZ41" s="43"/>
      <c r="BA41" s="43"/>
    </row>
    <row r="42" spans="1:53">
      <c r="A42" s="36">
        <v>40</v>
      </c>
      <c r="B42" s="20">
        <v>5.2356358110672412</v>
      </c>
      <c r="C42" s="32">
        <f t="shared" si="19"/>
        <v>3.4560930943363237</v>
      </c>
      <c r="D42" s="32"/>
      <c r="P42" s="34">
        <v>39</v>
      </c>
      <c r="Q42" s="33">
        <f t="shared" si="20"/>
        <v>4.64654628339912</v>
      </c>
      <c r="R42" s="32">
        <f t="shared" si="21"/>
        <v>4.632056487480753</v>
      </c>
      <c r="S42" s="35"/>
      <c r="V42" s="37"/>
      <c r="AE42" s="44">
        <v>16</v>
      </c>
      <c r="AF42" s="41">
        <f t="shared" si="18"/>
        <v>-2.1194584259988214E-2</v>
      </c>
      <c r="AG42" s="40">
        <f>AW42</f>
        <v>-3.8546459666535124E-2</v>
      </c>
      <c r="AH42" s="40">
        <f>AH41-(AV41*AW42)</f>
        <v>-0.13913911756937269</v>
      </c>
      <c r="AI42" s="40">
        <f>AI41-(AU41*AW42)</f>
        <v>-0.30009644922631046</v>
      </c>
      <c r="AJ42" s="40">
        <f>AJ41-(AT41*AW42)</f>
        <v>-2.4833180556441431E-2</v>
      </c>
      <c r="AK42" s="37">
        <f>AK41-(AS41*AW42)</f>
        <v>-0.26382820168566995</v>
      </c>
      <c r="AL42" s="37">
        <f>AL41-(AR41*AW42)</f>
        <v>-0.23749432040017504</v>
      </c>
      <c r="AM42" s="37">
        <f>AM41-(AQ41*AW42)</f>
        <v>2.0889752328772802E-2</v>
      </c>
      <c r="AN42" s="37">
        <f>AN41-(AP41*AW42)</f>
        <v>-0.31690888322198096</v>
      </c>
      <c r="AO42" s="37">
        <f>AO41-(AO41*AW42)</f>
        <v>-1.1062423726452105E-2</v>
      </c>
      <c r="AP42" s="37">
        <f>AP41-(AN41*AW42)</f>
        <v>-0.21202577827243616</v>
      </c>
      <c r="AQ42" s="37">
        <f>AQ41-(AM41*AW42)</f>
        <v>-0.1794360830360115</v>
      </c>
      <c r="AR42" s="37">
        <f>AR41-(AL41*AW42)</f>
        <v>-0.1528346256140688</v>
      </c>
      <c r="AS42" s="37">
        <f>AS41-(AK41*AW42)</f>
        <v>-5.3860765403830127E-2</v>
      </c>
      <c r="AT42" s="37">
        <f>AT41-(AJ41*AW42)</f>
        <v>-6.6017847654873313E-2</v>
      </c>
      <c r="AU42" s="37">
        <f>AU41-(AI41*AW42)</f>
        <v>-0.17369117494901254</v>
      </c>
      <c r="AV42" s="37">
        <f>AV41-(AH41*AW42)</f>
        <v>-0.1100421925143388</v>
      </c>
      <c r="AW42" s="38">
        <f>(AF42-(AH41*AF41+AI41*AF40+AJ41*AF39+AK41*AF38+AL41*AF37+AM41*AF36+AN41*AF35+AO41*AF34+AP41*AF33+AQ41*AF32+AR41*AF31+AS41*AF30+AT41*AF29+AU41*AF28+AV41*AF27))/(1-(AH41*AF27+AI41*AF28+AJ41*AF29+AK41*AF30+AL41*AF31+AM41*AF32+AN41*AF33+AO41*AF34+AP41*AF35+AQ41*AF36+AR41*AF37+AS41*AF38+AT41*AF39+AU41*AF40+AV41*AF41))</f>
        <v>-3.8546459666535124E-2</v>
      </c>
      <c r="AX42" s="37"/>
      <c r="AY42" s="43"/>
      <c r="AZ42" s="43"/>
      <c r="BA42" s="43"/>
    </row>
    <row r="43" spans="1:53">
      <c r="A43" s="36">
        <v>41</v>
      </c>
      <c r="B43" s="20">
        <v>1.3942543244268895</v>
      </c>
      <c r="C43" s="32">
        <f t="shared" si="19"/>
        <v>-0.38528839230402823</v>
      </c>
      <c r="D43" s="32"/>
      <c r="P43" s="34">
        <v>40</v>
      </c>
      <c r="Q43" s="33">
        <f t="shared" si="20"/>
        <v>-3.8413814866403517</v>
      </c>
      <c r="R43" s="32">
        <f t="shared" si="21"/>
        <v>-3.8558712825587191</v>
      </c>
      <c r="S43" s="35"/>
      <c r="V43" s="37"/>
      <c r="AE43" s="44">
        <v>17</v>
      </c>
      <c r="AF43" s="41">
        <f t="shared" si="18"/>
        <v>5.9117195598321709E-2</v>
      </c>
      <c r="AG43" s="40">
        <f>AX43</f>
        <v>-2.2925008978743205E-2</v>
      </c>
      <c r="AH43" s="40">
        <f>AH42-(AW42*AX43)</f>
        <v>-0.14002279550332677</v>
      </c>
      <c r="AI43" s="40">
        <f>AI42-(AV42*AX43)</f>
        <v>-0.30261916747774226</v>
      </c>
      <c r="AJ43" s="40">
        <f>AJ42-(AU42*AX43)</f>
        <v>-2.8815052301676001E-2</v>
      </c>
      <c r="AK43" s="37">
        <f>AK42-(AT42*AX43)</f>
        <v>-0.2653416614359152</v>
      </c>
      <c r="AL43" s="37">
        <f>AL42-(AS42*AX43)</f>
        <v>-0.23872907893065984</v>
      </c>
      <c r="AM43" s="37">
        <f>AM42-(AR42*AX43)</f>
        <v>1.7386017164307419E-2</v>
      </c>
      <c r="AN43" s="37">
        <f>AN42-(AQ42*AX43)</f>
        <v>-0.32102245703669202</v>
      </c>
      <c r="AO43" s="37">
        <f>AO42-(AP42*AX43)</f>
        <v>-1.5923116597072719E-2</v>
      </c>
      <c r="AP43" s="37">
        <f>AP42-(AO42*AX43)</f>
        <v>-0.21227938443569172</v>
      </c>
      <c r="AQ43" s="37">
        <f>AQ42-(AN42*AX43)</f>
        <v>-0.18670122202931888</v>
      </c>
      <c r="AR43" s="37">
        <f>AR42-(AM42*AX43)</f>
        <v>-0.15235572785436796</v>
      </c>
      <c r="AS43" s="37">
        <f>AS42-(AL42*AX43)</f>
        <v>-5.9305324831404653E-2</v>
      </c>
      <c r="AT43" s="37">
        <f>AT42-(AK42*AX43)</f>
        <v>-7.2066111547362977E-2</v>
      </c>
      <c r="AU43" s="37">
        <f>AU42-(AJ42*AX43)</f>
        <v>-0.17426047583623971</v>
      </c>
      <c r="AV43" s="37">
        <f>AV42-(AI42*AX43)</f>
        <v>-0.11692190630734092</v>
      </c>
      <c r="AW43" s="37">
        <f>AW42-(AH42*AX43)</f>
        <v>-4.1736225186107402E-2</v>
      </c>
      <c r="AX43" s="38">
        <f>(AF43-(AH42*AF42+AI42*AF41+AJ42*AF40+AK42*AF39+AL42*AF38+AM42*AF37+AN42*AF36+AO42*AF35+AP42*AF34+AQ42*AF33+AR42*AF32+AS42*AF31+AT42*AF30+AU42*AF29+AV42*AF28+AW42*AF27))/(1-(AH42*AF27+AI42*AF28+AJ42*AF29+AK42*AF30+AL42*AF31+AM42*AF32+AN42*AF33+AO42*AF34+AP42*AF35+AQ42*AF36+AR42*AF37+AS42*AF38+AT42*AF39+AU42*AF40+AV42*AF41+AW42*AF42))</f>
        <v>-2.2925008978743205E-2</v>
      </c>
      <c r="AY43" s="43"/>
      <c r="AZ43" s="43"/>
      <c r="BA43" s="43"/>
    </row>
    <row r="44" spans="1:53">
      <c r="A44" s="36">
        <v>42</v>
      </c>
      <c r="B44" s="20">
        <v>2.1577017297707481</v>
      </c>
      <c r="C44" s="32">
        <f t="shared" si="19"/>
        <v>0.37815901303983046</v>
      </c>
      <c r="D44" s="32"/>
      <c r="P44" s="34">
        <v>41</v>
      </c>
      <c r="Q44" s="33">
        <f t="shared" si="20"/>
        <v>0.76344740534385869</v>
      </c>
      <c r="R44" s="32">
        <f t="shared" si="21"/>
        <v>0.74895760942549128</v>
      </c>
      <c r="S44" s="35"/>
      <c r="V44" s="37"/>
      <c r="AE44" s="42">
        <v>18</v>
      </c>
      <c r="AF44" s="41">
        <f t="shared" si="18"/>
        <v>0.17107451331661525</v>
      </c>
      <c r="AG44" s="40">
        <f>AX44</f>
        <v>-2.3050699688338186E-3</v>
      </c>
      <c r="AH44" s="40">
        <f>AH43-(AX43*AY44)</f>
        <v>-0.13664682885986637</v>
      </c>
      <c r="AI44" s="40">
        <f>AI43-(AW43*AY44)</f>
        <v>-0.29647303666562796</v>
      </c>
      <c r="AJ44" s="40">
        <f>AJ43-(AV43*AY44)</f>
        <v>-1.1596980284806227E-2</v>
      </c>
      <c r="AK44" s="37">
        <f>AK43-(AU43*AY44)</f>
        <v>-0.23967983708321056</v>
      </c>
      <c r="AL44" s="37">
        <f>AL43-(AT43*AY44)</f>
        <v>-0.22811652959934295</v>
      </c>
      <c r="AM44" s="37">
        <f>AM43-(AS43*AY44)</f>
        <v>2.6119396444378815E-2</v>
      </c>
      <c r="AN44" s="37">
        <f>AN43-(AR43*AY44)</f>
        <v>-0.29858635436587527</v>
      </c>
      <c r="AO44" s="37">
        <f>AO43-(AQ43*AY44)</f>
        <v>1.1570748223163927E-2</v>
      </c>
      <c r="AP44" s="37">
        <f>AP43-(AP43*AY44)</f>
        <v>-0.18101884614697378</v>
      </c>
      <c r="AQ44" s="37">
        <f>AQ43-(AO43*AY44)</f>
        <v>-0.18435636316616674</v>
      </c>
      <c r="AR44" s="37">
        <f>AR43-(AN43*AY44)</f>
        <v>-0.10508154323954519</v>
      </c>
      <c r="AS44" s="37">
        <f>AS43-(AM43*AY44)</f>
        <v>-6.1865612335054297E-2</v>
      </c>
      <c r="AT44" s="37">
        <f>AT43-(AL43*AY44)</f>
        <v>-3.691055684109306E-2</v>
      </c>
      <c r="AU44" s="37">
        <f>AU43-(AK43*AY44)</f>
        <v>-0.13518591761213539</v>
      </c>
      <c r="AV44" s="37">
        <f>AV43-(AJ43*AY44)</f>
        <v>-0.11267856422227455</v>
      </c>
      <c r="AW44" s="37">
        <f>AW43-(AI43*AY44)</f>
        <v>2.8278670689450627E-3</v>
      </c>
      <c r="AX44" s="39">
        <f>AX43-(AH43*AY44)</f>
        <v>-2.3050699688338186E-3</v>
      </c>
      <c r="AY44" s="38">
        <f>(AF44-(AH43*AF43+AI43*AF42+AJ43*AF41+AK43*AF40+AL43*AF39+AM43*AF38+AN43*AF37+AO43*AF36+AP43*AF35+AQ43*AF34+AR43*AF33+AS43*AF32+AT43*AF31+AU43*AF30+AV43*AF29+AW43*AF28+AX43*AF27))/(1-(AH43*AF27+AI43*AF28+AJ43*AF29+AK43*AF30+AL43*AF31+AM43*AF32+AN43*AF33+AO43*AF34+AP43*AF35+AQ43*AF36+AR43*AF37+AS43*AF38+AT43*AF39+AU43*AF40+AV43*AF41+AW43*AF42+AX43*AF43))</f>
        <v>0.14726130081740499</v>
      </c>
      <c r="AZ44" s="43"/>
      <c r="BA44" s="43"/>
    </row>
    <row r="45" spans="1:53">
      <c r="A45" s="36">
        <v>43</v>
      </c>
      <c r="B45" s="20">
        <v>6.763080691908292</v>
      </c>
      <c r="C45" s="32">
        <f t="shared" si="19"/>
        <v>4.9835379751773745</v>
      </c>
      <c r="D45" s="32"/>
      <c r="P45" s="34">
        <v>42</v>
      </c>
      <c r="Q45" s="33">
        <f t="shared" si="20"/>
        <v>4.6053789621375438</v>
      </c>
      <c r="R45" s="32">
        <f t="shared" si="21"/>
        <v>4.5908891662191769</v>
      </c>
      <c r="S45" s="35"/>
      <c r="V45" s="37"/>
      <c r="AE45" s="42">
        <v>19</v>
      </c>
      <c r="AF45" s="41">
        <f t="shared" si="18"/>
        <v>-0.15555016171783487</v>
      </c>
      <c r="AG45" s="40">
        <f>AX45</f>
        <v>-5.1369699112283007E-2</v>
      </c>
      <c r="AH45" s="40">
        <f>AH44-(AY44*AZ45)</f>
        <v>-0.1122759073317247</v>
      </c>
      <c r="AI45" s="40">
        <f>AI44-(AX44*AZ45)</f>
        <v>-0.29685451285126196</v>
      </c>
      <c r="AJ45" s="40">
        <f>AJ44-(AW44*AZ45)</f>
        <v>-1.1128984103550638E-2</v>
      </c>
      <c r="AK45" s="37">
        <f>AK44-(AV44*AZ45)</f>
        <v>-0.25832750915538449</v>
      </c>
      <c r="AL45" s="37">
        <f>AL44-(AU44*AZ45)</f>
        <v>-0.25048904275485478</v>
      </c>
      <c r="AM45" s="37">
        <f>AM44-(AT44*AZ45)</f>
        <v>2.0010905759173803E-2</v>
      </c>
      <c r="AN45" s="37">
        <f>AN44-(AR44*AZ45)</f>
        <v>-0.3159767619619781</v>
      </c>
      <c r="AO45" s="37">
        <f>AO44-(AR44*AZ45)</f>
        <v>-5.8196593729388894E-3</v>
      </c>
      <c r="AP45" s="37">
        <f>AP44-(AQ44*AZ45)</f>
        <v>-0.21152879298974411</v>
      </c>
      <c r="AQ45" s="37">
        <f>AQ44-(AP44*AZ45)</f>
        <v>-0.21431396961181914</v>
      </c>
      <c r="AR45" s="37">
        <f>AR44-(AO44*AZ45)</f>
        <v>-0.1031666491336031</v>
      </c>
      <c r="AS45" s="37">
        <f>AS44-(AN44*AZ45)</f>
        <v>-0.11127998373631921</v>
      </c>
      <c r="AT45" s="37">
        <f>AT44-(AM44*AZ45)</f>
        <v>-3.2587942837447481E-2</v>
      </c>
      <c r="AU45" s="37">
        <f>AU44-(AL44*AZ45)</f>
        <v>-0.1729379272119346</v>
      </c>
      <c r="AV45" s="37">
        <f>AV44-(AK44*AZ45)</f>
        <v>-0.15234423652728468</v>
      </c>
      <c r="AW45" s="37">
        <f>AW44-(AJ44*AZ45)</f>
        <v>9.0863170353931103E-4</v>
      </c>
      <c r="AX45" s="39">
        <f>AX44-(AI44*AZ45)</f>
        <v>-5.1369699112283007E-2</v>
      </c>
      <c r="AY45" s="39">
        <f>AY44-(AH44*AZ45)</f>
        <v>0.12464701502250723</v>
      </c>
      <c r="AZ45" s="38">
        <f>(AF45-(AH44*AF44+AI44*AF43+AJ44*AF42+AK44*AF41+AL44*AF40+AM44*AF39+AN44*AF38+AO44*AF37+AP44*AF36+AQ44*AF35+AR44*AF34+AS44*AF33+AT44*AF32+AU44*AF31+AV44*AF30+AW44*AF29+AX44*AF28+AY44*AF27))/(1-(AH44*AF27+AI44*AF28+AJ44*AF29+AK44*AF30+AL44*AF31+AM44*AF32+AN44*AF33+AO44*AF34+AP44*AF35+AQ44*AF36+AR44*AF37+AS44*AF38+AT44*AF39+AU44*AF40+AV44*AF41+AW44*AF42+AX44*AF43+AY44*AF44))</f>
        <v>-0.16549440615331873</v>
      </c>
      <c r="BA45" s="43"/>
    </row>
    <row r="46" spans="1:53">
      <c r="A46" s="36">
        <v>44</v>
      </c>
      <c r="B46" s="20">
        <v>4.905232276763309</v>
      </c>
      <c r="C46" s="32">
        <f t="shared" si="19"/>
        <v>3.1256895600323915</v>
      </c>
      <c r="D46" s="32"/>
      <c r="P46" s="34">
        <v>43</v>
      </c>
      <c r="Q46" s="33">
        <f t="shared" si="20"/>
        <v>-1.857848415144983</v>
      </c>
      <c r="R46" s="32">
        <f t="shared" si="21"/>
        <v>-1.8723382110633504</v>
      </c>
      <c r="S46" s="35"/>
      <c r="V46" s="37"/>
      <c r="AE46" s="42">
        <v>20</v>
      </c>
      <c r="AF46" s="41">
        <f t="shared" si="18"/>
        <v>-1.9766773118641837E-2</v>
      </c>
      <c r="AG46" s="40">
        <f>AX46</f>
        <v>-5.1009040468670691E-2</v>
      </c>
      <c r="AH46" s="40">
        <f>AH45-(AZ45*BA46)</f>
        <v>-0.10691270548928174</v>
      </c>
      <c r="AI46" s="40">
        <f>AI45-(AY45*BA46)</f>
        <v>-0.30089396721206013</v>
      </c>
      <c r="AJ46" s="40">
        <f>AJ45-(AX45*BA46)</f>
        <v>-9.4642386216429297E-3</v>
      </c>
      <c r="AK46" s="37">
        <f>AK45-(AW45*AI46)</f>
        <v>-0.25805410735737189</v>
      </c>
      <c r="AL46" s="37">
        <f>AL45-(AV45*BA46)</f>
        <v>-0.24555200041596292</v>
      </c>
      <c r="AM46" s="37">
        <f>AM45-(AU45*BA46)</f>
        <v>2.5615330896009245E-2</v>
      </c>
      <c r="AN46" s="37">
        <f>AN45-(AR45*BA46)</f>
        <v>-0.31263342501438718</v>
      </c>
      <c r="AO46" s="37">
        <f>AO45-(AS45*BA46)</f>
        <v>-2.213392383777085E-3</v>
      </c>
      <c r="AP46" s="37">
        <f>AP45-(AR45*BA46)</f>
        <v>-0.20818545604215322</v>
      </c>
      <c r="AQ46" s="37">
        <f>AQ45-(AQ45*BA46)</f>
        <v>-0.2073686649130094</v>
      </c>
      <c r="AR46" s="37">
        <f>AR45-(AP45*BA46)</f>
        <v>-9.6311604067963089E-2</v>
      </c>
      <c r="AS46" s="37">
        <f>AS45-(AO45*BA46)</f>
        <v>-0.11109138516917236</v>
      </c>
      <c r="AT46" s="37">
        <f>AT45-(AN45*BA46)</f>
        <v>-2.2348036901571489E-2</v>
      </c>
      <c r="AU46" s="37">
        <f>AU45-(AM45*BA46)</f>
        <v>-0.17358642361209164</v>
      </c>
      <c r="AV46" s="37">
        <f>AV45-(AL45*BA46)</f>
        <v>-0.14422660085100675</v>
      </c>
      <c r="AW46" s="37">
        <f>AW45-(AK45*BA46)</f>
        <v>9.2802897266650343E-3</v>
      </c>
      <c r="AX46" s="39">
        <f>AX45-(AJ45*BA46)</f>
        <v>-5.1009040468670691E-2</v>
      </c>
      <c r="AY46" s="39">
        <f>AY45-(AH45*BA46)</f>
        <v>0.12828555705579869</v>
      </c>
      <c r="AZ46" s="39">
        <f>AZ45-(AH45*BA46)</f>
        <v>-0.16185586412002725</v>
      </c>
      <c r="BA46" s="38">
        <f>(AF46-(AH45*AF45+AI45*AF44+AJ45*AF43+AK45*AF42+AL45*AF41+AM45*AF40+AN45*AF39+AO45*AF38+AP45*AF37+AQ45*AF36+AR45*AF35+AS45*AF34+AT45*AF33+AU45*AF32+AV45*AF31+AW45*AF30+AX45*AF29+AY45*AF28)+AZ45*AF27)/(1-(AH45*AF27+AI45*AF28+AJ45*AF29+AK45*AF30+AL45*AF31+AM45*AF32+AN45*AF33+AO45*AF34+AP45*AF35+AQ45*AF36+AR45*AF37+AS45*AF38+AT45*AF39+AU45*AF40+AV45*AF41+AW45*AF42+AX45*AF43+AY45*AF44+AZ45*AF45))</f>
        <v>3.240714877984658E-2</v>
      </c>
    </row>
    <row r="47" spans="1:53">
      <c r="A47" s="36">
        <v>45</v>
      </c>
      <c r="B47" s="20">
        <v>1.4620929107053158</v>
      </c>
      <c r="C47" s="32">
        <f t="shared" si="19"/>
        <v>-0.31744980602560191</v>
      </c>
      <c r="D47" s="32"/>
      <c r="P47" s="34">
        <v>44</v>
      </c>
      <c r="Q47" s="33">
        <f t="shared" si="20"/>
        <v>-3.4431393660579932</v>
      </c>
      <c r="R47" s="32">
        <f t="shared" si="21"/>
        <v>-3.4576291619763606</v>
      </c>
      <c r="S47" s="35"/>
      <c r="V47" s="37"/>
    </row>
    <row r="48" spans="1:53">
      <c r="A48" s="36">
        <v>46</v>
      </c>
      <c r="B48" s="20">
        <v>-1.6151628357178818</v>
      </c>
      <c r="C48" s="32">
        <f t="shared" si="19"/>
        <v>-3.3947055524487997</v>
      </c>
      <c r="D48" s="32"/>
      <c r="P48" s="34">
        <v>45</v>
      </c>
      <c r="Q48" s="33">
        <f t="shared" si="20"/>
        <v>-3.0772557464231975</v>
      </c>
      <c r="R48" s="32">
        <f t="shared" si="21"/>
        <v>-3.091745542341565</v>
      </c>
      <c r="S48" s="35"/>
      <c r="V48" s="37"/>
    </row>
    <row r="49" spans="1:22">
      <c r="A49" s="36">
        <v>47</v>
      </c>
      <c r="B49" s="20">
        <v>-4.5460651342871614</v>
      </c>
      <c r="C49" s="32">
        <f t="shared" si="19"/>
        <v>-6.3256078510180789</v>
      </c>
      <c r="D49" s="32"/>
      <c r="P49" s="34">
        <v>46</v>
      </c>
      <c r="Q49" s="33">
        <f t="shared" si="20"/>
        <v>-2.9309022985692796</v>
      </c>
      <c r="R49" s="32">
        <f t="shared" si="21"/>
        <v>-2.9453920944876471</v>
      </c>
      <c r="S49" s="35"/>
      <c r="V49" s="37"/>
    </row>
    <row r="50" spans="1:22">
      <c r="A50" s="36">
        <v>48</v>
      </c>
      <c r="B50" s="20">
        <v>-1.4184260537148732</v>
      </c>
      <c r="C50" s="32">
        <f t="shared" si="19"/>
        <v>-3.1979687704457911</v>
      </c>
      <c r="D50" s="32"/>
      <c r="P50" s="34">
        <v>47</v>
      </c>
      <c r="Q50" s="33">
        <f t="shared" si="20"/>
        <v>3.1276390805722882</v>
      </c>
      <c r="R50" s="32">
        <f t="shared" si="21"/>
        <v>3.1131492846539208</v>
      </c>
      <c r="S50" s="35"/>
      <c r="V50" s="37"/>
    </row>
    <row r="51" spans="1:22">
      <c r="A51" s="36">
        <v>49</v>
      </c>
      <c r="B51" s="20">
        <v>1.1326295785140421</v>
      </c>
      <c r="C51" s="32">
        <f t="shared" si="19"/>
        <v>-0.64691313821687557</v>
      </c>
      <c r="D51" s="32"/>
      <c r="P51" s="34">
        <v>48</v>
      </c>
      <c r="Q51" s="33">
        <f t="shared" si="20"/>
        <v>2.5510556322289153</v>
      </c>
      <c r="R51" s="32">
        <f t="shared" si="21"/>
        <v>2.5365658363105479</v>
      </c>
      <c r="S51" s="35"/>
      <c r="V51" s="37"/>
    </row>
    <row r="52" spans="1:22">
      <c r="A52" s="36">
        <v>50</v>
      </c>
      <c r="B52" s="20">
        <v>2.0099999999999998</v>
      </c>
      <c r="C52" s="32">
        <f t="shared" si="19"/>
        <v>0.2304572832690821</v>
      </c>
      <c r="P52" s="34">
        <v>49</v>
      </c>
      <c r="Q52" s="33">
        <f t="shared" si="20"/>
        <v>0.87737042148595767</v>
      </c>
      <c r="R52" s="32">
        <f t="shared" si="21"/>
        <v>0.86288062556759026</v>
      </c>
      <c r="S52" s="35"/>
    </row>
    <row r="53" spans="1:22">
      <c r="P53" s="34">
        <v>50</v>
      </c>
      <c r="Q53" s="33">
        <f t="shared" si="20"/>
        <v>-2.0099999999999998</v>
      </c>
      <c r="R53" s="32">
        <f t="shared" si="21"/>
        <v>-2.0244897959183672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"/>
  <sheetViews>
    <sheetView topLeftCell="B1" workbookViewId="0">
      <selection activeCell="E18" sqref="E18"/>
    </sheetView>
  </sheetViews>
  <sheetFormatPr defaultRowHeight="15"/>
  <cols>
    <col min="3" max="3" width="47.5703125" customWidth="1"/>
    <col min="4" max="4" width="12" bestFit="1" customWidth="1"/>
    <col min="7" max="7" width="4.7109375" customWidth="1"/>
  </cols>
  <sheetData>
    <row r="1" spans="1:15" s="5" customFormat="1" ht="18">
      <c r="A1" s="5" t="s">
        <v>14</v>
      </c>
      <c r="B1" s="5" t="s">
        <v>15</v>
      </c>
      <c r="C1" s="29"/>
      <c r="D1" s="8" t="s">
        <v>13</v>
      </c>
      <c r="E1" s="9" t="s">
        <v>1</v>
      </c>
      <c r="F1" s="10" t="s">
        <v>2</v>
      </c>
      <c r="G1" s="10"/>
      <c r="H1" s="10" t="s">
        <v>9</v>
      </c>
      <c r="I1" s="10" t="s">
        <v>10</v>
      </c>
      <c r="J1" s="8"/>
      <c r="K1" s="8"/>
      <c r="L1" s="8" t="s">
        <v>12</v>
      </c>
      <c r="M1" s="8" t="s">
        <v>11</v>
      </c>
      <c r="N1" s="8" t="s">
        <v>8</v>
      </c>
      <c r="O1" s="8"/>
    </row>
    <row r="2" spans="1:15">
      <c r="A2" s="238">
        <f>'1. Autocorr'!E3</f>
        <v>0.70808340042279849</v>
      </c>
      <c r="B2" s="238">
        <f>'1. Autocorr'!J3</f>
        <v>0.70808340042279849</v>
      </c>
      <c r="C2" s="30" t="s">
        <v>16</v>
      </c>
      <c r="D2" s="11"/>
      <c r="E2" s="19">
        <f>A2</f>
        <v>0.70808340042279849</v>
      </c>
      <c r="F2" s="19"/>
      <c r="G2" s="19"/>
      <c r="H2" s="11" t="s">
        <v>3</v>
      </c>
      <c r="I2" s="11"/>
      <c r="J2" s="11"/>
      <c r="K2" s="11"/>
      <c r="L2" s="239">
        <f>ABS(E2)</f>
        <v>0.70808340042279849</v>
      </c>
      <c r="M2" s="12" t="str">
        <f>IF(ABS(L2)&lt;1,"OK","No")</f>
        <v>OK</v>
      </c>
      <c r="N2" s="11"/>
      <c r="O2" s="11"/>
    </row>
    <row r="3" spans="1:15">
      <c r="A3" s="238">
        <f>'1. Autocorr'!E4</f>
        <v>0.50615267207282055</v>
      </c>
      <c r="B3" s="238">
        <f>'1. Autocorr'!J4</f>
        <v>9.5675869983917663E-3</v>
      </c>
      <c r="C3" s="30"/>
      <c r="D3" s="11"/>
      <c r="E3" s="19"/>
      <c r="F3" s="19"/>
      <c r="G3" s="19"/>
      <c r="H3" s="11"/>
      <c r="I3" s="11"/>
      <c r="J3" s="11"/>
      <c r="K3" s="11"/>
      <c r="L3" s="239"/>
      <c r="M3" s="12"/>
      <c r="N3" s="11"/>
      <c r="O3" s="11"/>
    </row>
    <row r="4" spans="1:15">
      <c r="A4" s="238">
        <f>'1. Autocorr'!E5</f>
        <v>0.42260799437076468</v>
      </c>
      <c r="B4" s="238">
        <f>'1. Autocorr'!J5</f>
        <v>0.12207668194649815</v>
      </c>
      <c r="C4" s="30"/>
      <c r="E4" s="20"/>
      <c r="F4" s="20"/>
      <c r="G4" s="20"/>
      <c r="L4" s="238"/>
    </row>
    <row r="5" spans="1:15">
      <c r="A5" s="238">
        <f>'1. Autocorr'!E6</f>
        <v>0.21860080478153993</v>
      </c>
      <c r="B5" s="238">
        <f>'1. Autocorr'!J6</f>
        <v>-0.25498510757379067</v>
      </c>
      <c r="C5" s="27" t="s">
        <v>17</v>
      </c>
      <c r="D5" s="6"/>
      <c r="E5" s="26">
        <f>(A2*(1-A3))/(1-A2^2)</f>
        <v>0.70130875088713629</v>
      </c>
      <c r="F5" s="21"/>
      <c r="G5" s="21"/>
      <c r="H5" s="6" t="s">
        <v>4</v>
      </c>
      <c r="I5" s="6"/>
      <c r="J5" s="6"/>
      <c r="K5" s="6"/>
      <c r="L5" s="240">
        <f>E6+E5</f>
        <v>0.71087633788552806</v>
      </c>
      <c r="M5" s="7" t="str">
        <f>IF(L5&lt;1,"OK","No")</f>
        <v>OK</v>
      </c>
      <c r="N5" s="6"/>
      <c r="O5" s="6"/>
    </row>
    <row r="6" spans="1:15">
      <c r="A6" s="238">
        <f>'1. Autocorr'!E7</f>
        <v>0.14519652398194871</v>
      </c>
      <c r="B6" s="238">
        <f>'1. Autocorr'!J7</f>
        <v>0.11775232620835639</v>
      </c>
      <c r="C6" s="27" t="s">
        <v>18</v>
      </c>
      <c r="D6" s="6"/>
      <c r="E6" s="26">
        <f>(A3-A2^2)/(1-A2^2)</f>
        <v>9.5675869983917663E-3</v>
      </c>
      <c r="F6" s="21"/>
      <c r="G6" s="21"/>
      <c r="H6" s="6"/>
      <c r="I6" s="6"/>
      <c r="J6" s="6"/>
      <c r="K6" s="6"/>
      <c r="L6" s="240">
        <f>E6-E5</f>
        <v>-0.69174116388874451</v>
      </c>
      <c r="M6" s="7" t="str">
        <f>IF(L6&lt;1,"OK","No")</f>
        <v>OK</v>
      </c>
      <c r="N6" s="6"/>
      <c r="O6" s="6"/>
    </row>
    <row r="7" spans="1:15">
      <c r="A7" s="238">
        <f>'1. Autocorr'!E8</f>
        <v>0.1449890994922588</v>
      </c>
      <c r="B7" s="238">
        <f>'1. Autocorr'!J8</f>
        <v>4.5342608281006509E-2</v>
      </c>
      <c r="C7" s="30"/>
      <c r="D7" s="6"/>
      <c r="E7" s="21"/>
      <c r="F7" s="21"/>
      <c r="G7" s="21"/>
      <c r="H7" s="6"/>
      <c r="I7" s="6"/>
      <c r="J7" s="6"/>
      <c r="K7" s="6"/>
      <c r="L7" s="240">
        <f>ABS(E6)</f>
        <v>9.5675869983917663E-3</v>
      </c>
      <c r="M7" s="7" t="str">
        <f>IF(L7&lt;1,"OK","No")</f>
        <v>OK</v>
      </c>
      <c r="N7" s="6"/>
      <c r="O7" s="6"/>
    </row>
    <row r="8" spans="1:15">
      <c r="A8" s="238">
        <f>'1. Autocorr'!E9</f>
        <v>7.2395046834013658E-3</v>
      </c>
      <c r="B8" s="238">
        <f>'1. Autocorr'!J9</f>
        <v>-0.18429625643271699</v>
      </c>
      <c r="C8" s="30"/>
      <c r="D8" s="6"/>
      <c r="E8" s="21"/>
      <c r="F8" s="21"/>
      <c r="G8" s="21"/>
      <c r="H8" s="6"/>
      <c r="I8" s="6"/>
      <c r="J8" s="6"/>
      <c r="K8" s="6"/>
      <c r="L8" s="240"/>
      <c r="M8" s="7"/>
      <c r="N8" s="6"/>
      <c r="O8" s="6"/>
    </row>
    <row r="9" spans="1:15">
      <c r="A9" s="238">
        <f>'1. Autocorr'!E10</f>
        <v>1.918342041672674E-2</v>
      </c>
      <c r="B9" s="238">
        <f>'1. Autocorr'!J10</f>
        <v>0.15120379611590021</v>
      </c>
      <c r="C9" s="30"/>
      <c r="E9" s="20"/>
      <c r="F9" s="20"/>
      <c r="G9" s="20"/>
      <c r="L9" s="238"/>
      <c r="M9" s="4"/>
    </row>
    <row r="10" spans="1:15">
      <c r="A10" s="238">
        <f>'1. Autocorr'!E11</f>
        <v>-1.0450279107167906E-2</v>
      </c>
      <c r="B10" s="238">
        <f>'1. Autocorr'!J11</f>
        <v>-0.16056467700472077</v>
      </c>
      <c r="C10" s="31" t="s">
        <v>19</v>
      </c>
      <c r="D10" s="14">
        <f>((-F10)/(1+F10^2))-A2</f>
        <v>-0.20808340042304807</v>
      </c>
      <c r="E10" s="22"/>
      <c r="F10" s="22">
        <v>-1.0000009990000001</v>
      </c>
      <c r="G10" s="22"/>
      <c r="H10" s="13" t="s">
        <v>5</v>
      </c>
      <c r="I10" s="13"/>
      <c r="J10" s="13"/>
      <c r="K10" s="13"/>
      <c r="L10" s="3">
        <f>ABS(F10)</f>
        <v>1.0000009990000001</v>
      </c>
      <c r="M10" s="14" t="str">
        <f>IF(L10&lt;1,"OK","No")</f>
        <v>No</v>
      </c>
      <c r="N10" s="13"/>
      <c r="O10" s="13"/>
    </row>
    <row r="11" spans="1:15">
      <c r="A11" s="238">
        <f>'1. Autocorr'!E12</f>
        <v>-7.6563766708723974E-2</v>
      </c>
      <c r="B11" s="238">
        <f>'1. Autocorr'!J12</f>
        <v>6.1712181103150306E-2</v>
      </c>
      <c r="C11" s="30"/>
      <c r="D11" s="13"/>
      <c r="E11" s="22"/>
      <c r="F11" s="22"/>
      <c r="G11" s="22"/>
      <c r="H11" s="13"/>
      <c r="I11" s="13"/>
      <c r="J11" s="13"/>
      <c r="K11" s="13"/>
      <c r="L11" s="3"/>
      <c r="M11" s="14"/>
      <c r="N11" s="13"/>
      <c r="O11" s="13"/>
    </row>
    <row r="12" spans="1:15">
      <c r="A12" s="238">
        <f>'1. Autocorr'!E13</f>
        <v>-1.3441714946414085E-2</v>
      </c>
      <c r="B12" s="238">
        <f>'1. Autocorr'!J13</f>
        <v>5.7630126988092459E-2</v>
      </c>
      <c r="C12" s="30"/>
      <c r="E12" s="20"/>
      <c r="F12" s="20"/>
      <c r="G12" s="20"/>
      <c r="L12" s="238"/>
    </row>
    <row r="13" spans="1:15">
      <c r="A13" s="238">
        <f>'1. Autocorr'!E14</f>
        <v>2.8666164819956715E-2</v>
      </c>
      <c r="B13" s="238">
        <f>'1. Autocorr'!J14</f>
        <v>4.9158830755738896E-2</v>
      </c>
      <c r="C13" s="31" t="s">
        <v>20</v>
      </c>
      <c r="D13" s="15">
        <f>((-F13*(1-F14))/(1+F13^2+F14^2))-A2</f>
        <v>-3.7263013392183297E-2</v>
      </c>
      <c r="E13" s="23"/>
      <c r="F13" s="24">
        <v>-1.1180342670371339</v>
      </c>
      <c r="G13" s="24"/>
      <c r="H13" s="16" t="s">
        <v>6</v>
      </c>
      <c r="I13" s="16"/>
      <c r="J13" s="16"/>
      <c r="K13" s="16"/>
      <c r="L13" s="241">
        <f>F14+F13</f>
        <v>-1.618034232270199</v>
      </c>
      <c r="M13" s="15" t="str">
        <f>IF(L13&lt;1,"OK","No")</f>
        <v>OK</v>
      </c>
      <c r="N13" s="16"/>
      <c r="O13" s="16"/>
    </row>
    <row r="14" spans="1:15">
      <c r="A14" s="238">
        <f>'1. Autocorr'!E15</f>
        <v>-8.9884578915821276E-3</v>
      </c>
      <c r="B14" s="238">
        <f>'1. Autocorr'!J15</f>
        <v>-4.7960665210238222E-2</v>
      </c>
      <c r="C14" s="31" t="s">
        <v>21</v>
      </c>
      <c r="D14" s="15">
        <f>((-F13)/(1+F13^2+F14^2))-A3</f>
        <v>-5.8939070353579703E-2</v>
      </c>
      <c r="E14" s="23"/>
      <c r="F14" s="24">
        <v>-0.49999996523306511</v>
      </c>
      <c r="G14" s="24"/>
      <c r="H14" s="16"/>
      <c r="I14" s="16"/>
      <c r="J14" s="16"/>
      <c r="K14" s="16"/>
      <c r="L14" s="241">
        <f>F14-F13</f>
        <v>0.61803430180406882</v>
      </c>
      <c r="M14" s="15" t="str">
        <f>IF(L14&lt;1,"OK","No")</f>
        <v>OK</v>
      </c>
      <c r="N14" s="16"/>
      <c r="O14" s="16"/>
    </row>
    <row r="15" spans="1:15">
      <c r="A15" s="238">
        <f>'1. Autocorr'!E16</f>
        <v>1.3919719031007579E-2</v>
      </c>
      <c r="B15" s="238">
        <f>'1. Autocorr'!J16</f>
        <v>-5.372183300272431E-2</v>
      </c>
      <c r="C15" s="31" t="s">
        <v>22</v>
      </c>
      <c r="D15" s="15">
        <f>SUM(D13:D14)</f>
        <v>-9.6202083745763001E-2</v>
      </c>
      <c r="E15" s="24"/>
      <c r="F15" s="24"/>
      <c r="G15" s="24"/>
      <c r="H15" s="16"/>
      <c r="I15" s="16"/>
      <c r="J15" s="16"/>
      <c r="K15" s="16"/>
      <c r="L15" s="241">
        <f>ABS(F14)</f>
        <v>0.49999996523306511</v>
      </c>
      <c r="M15" s="15" t="str">
        <f>IF(L15&lt;1,"OK","No")</f>
        <v>OK</v>
      </c>
      <c r="N15" s="16"/>
      <c r="O15" s="16"/>
    </row>
    <row r="16" spans="1:15">
      <c r="A16" s="238">
        <f>'1. Autocorr'!E17</f>
        <v>3.0127386432288111E-2</v>
      </c>
      <c r="B16" s="238">
        <f>'1. Autocorr'!J17</f>
        <v>0.10442496575142324</v>
      </c>
      <c r="C16" s="30"/>
      <c r="D16" s="16"/>
      <c r="E16" s="24"/>
      <c r="F16" s="24"/>
      <c r="G16" s="24"/>
      <c r="H16" s="16"/>
      <c r="I16" s="16"/>
      <c r="J16" s="16"/>
      <c r="K16" s="16"/>
      <c r="L16" s="241"/>
      <c r="M16" s="15"/>
      <c r="N16" s="16"/>
      <c r="O16" s="16"/>
    </row>
    <row r="17" spans="1:15">
      <c r="A17" s="238">
        <f>'1. Autocorr'!E18</f>
        <v>5.9034575083897506E-2</v>
      </c>
      <c r="B17" s="238">
        <f>'1. Autocorr'!J18</f>
        <v>6.6177400349948456E-2</v>
      </c>
      <c r="C17" s="30"/>
      <c r="E17" s="20"/>
      <c r="F17" s="20"/>
      <c r="G17" s="20"/>
      <c r="L17" s="238"/>
    </row>
    <row r="18" spans="1:15">
      <c r="A18" s="238">
        <f>'1. Autocorr'!E19</f>
        <v>9.7326047086195647E-2</v>
      </c>
      <c r="B18" s="238">
        <f>'1. Autocorr'!J19</f>
        <v>-2.608068429162334E-3</v>
      </c>
      <c r="C18" s="31" t="s">
        <v>23</v>
      </c>
      <c r="D18" s="18">
        <f>(((1-E18*F18)*(E18-F18))/(1+F18^2-2*E18*F18))-A2</f>
        <v>6.043757059102417E-2</v>
      </c>
      <c r="E18" s="25">
        <v>0.62946758900675348</v>
      </c>
      <c r="F18" s="25">
        <v>-0.36836396052140391</v>
      </c>
      <c r="G18" s="25"/>
      <c r="H18" s="17" t="s">
        <v>7</v>
      </c>
      <c r="I18" s="17"/>
      <c r="J18" s="17"/>
      <c r="K18" s="17"/>
      <c r="L18" s="242">
        <f>ABS(E18)</f>
        <v>0.62946758900675348</v>
      </c>
      <c r="M18" s="18" t="str">
        <f>IF(L18&lt;1,"OK","No")</f>
        <v>OK</v>
      </c>
      <c r="N18" s="17"/>
      <c r="O18" s="17"/>
    </row>
    <row r="19" spans="1:15">
      <c r="A19" s="238">
        <f>'1. Autocorr'!E20</f>
        <v>8.8940196934404414E-2</v>
      </c>
      <c r="B19" s="238">
        <f>'1. Autocorr'!J20</f>
        <v>2.1199531290187666E-2</v>
      </c>
      <c r="C19" s="31" t="s">
        <v>24</v>
      </c>
      <c r="D19" s="18">
        <f>(E18*A2)-A3</f>
        <v>-6.0437121192978005E-2</v>
      </c>
      <c r="E19" s="25"/>
      <c r="F19" s="25"/>
      <c r="G19" s="25"/>
      <c r="H19" s="17"/>
      <c r="I19" s="17"/>
      <c r="J19" s="17"/>
      <c r="K19" s="17"/>
      <c r="L19" s="242">
        <f>ABS(F18)</f>
        <v>0.36836396052140391</v>
      </c>
      <c r="M19" s="18" t="str">
        <f>IF(L19&lt;1,"OK","No")</f>
        <v>OK</v>
      </c>
      <c r="N19" s="17"/>
      <c r="O19" s="17"/>
    </row>
    <row r="20" spans="1:15">
      <c r="A20" s="238">
        <f>'1. Autocorr'!E21</f>
        <v>-1.1033724233110049E-2</v>
      </c>
      <c r="B20" s="238">
        <f>'1. Autocorr'!J21</f>
        <v>-1.4498822102356673E-2</v>
      </c>
      <c r="C20" s="31" t="s">
        <v>25</v>
      </c>
      <c r="D20" s="18">
        <f>SUM(D18:D19)</f>
        <v>4.4939804616506152E-7</v>
      </c>
      <c r="E20" s="25"/>
      <c r="F20" s="25"/>
      <c r="G20" s="25"/>
      <c r="H20" s="17"/>
      <c r="I20" s="17"/>
      <c r="J20" s="17"/>
      <c r="K20" s="17"/>
      <c r="L20" s="242"/>
      <c r="M20" s="17"/>
      <c r="N20" s="17"/>
      <c r="O20" s="17"/>
    </row>
    <row r="21" spans="1:15">
      <c r="A21" s="238">
        <f>'1. Autocorr'!E22</f>
        <v>-1.3151585513013913E-2</v>
      </c>
      <c r="B21" s="238">
        <f>'1. Autocorr'!J22</f>
        <v>0.16797820399100891</v>
      </c>
      <c r="C21" s="3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22"/>
  <sheetViews>
    <sheetView tabSelected="1" zoomScale="70" zoomScaleNormal="70" workbookViewId="0">
      <selection activeCell="E39" sqref="E39"/>
    </sheetView>
  </sheetViews>
  <sheetFormatPr defaultRowHeight="15"/>
  <cols>
    <col min="1" max="1" width="21.85546875" customWidth="1"/>
    <col min="3" max="3" width="18.140625" customWidth="1"/>
    <col min="4" max="4" width="5.5703125" customWidth="1"/>
    <col min="5" max="5" width="21.28515625" customWidth="1"/>
    <col min="6" max="6" width="17.42578125" customWidth="1"/>
    <col min="7" max="7" width="17.28515625" customWidth="1"/>
    <col min="8" max="8" width="12.5703125" customWidth="1"/>
    <col min="9" max="9" width="4.28515625" customWidth="1"/>
    <col min="10" max="10" width="6.7109375" customWidth="1"/>
    <col min="11" max="12" width="7.28515625" style="43" customWidth="1"/>
    <col min="13" max="15" width="7.28515625" customWidth="1"/>
    <col min="16" max="16" width="7.28515625" style="43" customWidth="1"/>
  </cols>
  <sheetData>
    <row r="1" spans="1:16" ht="18">
      <c r="A1" s="158" t="s">
        <v>114</v>
      </c>
      <c r="B1" s="157" t="s">
        <v>12</v>
      </c>
      <c r="C1" s="156" t="s">
        <v>87</v>
      </c>
      <c r="D1" s="155"/>
      <c r="E1" s="154" t="s">
        <v>113</v>
      </c>
      <c r="F1" s="153" t="s">
        <v>12</v>
      </c>
      <c r="G1" s="152" t="s">
        <v>87</v>
      </c>
      <c r="I1" s="151"/>
      <c r="J1" s="150" t="s">
        <v>112</v>
      </c>
      <c r="K1" s="67" t="s">
        <v>59</v>
      </c>
      <c r="L1" s="67" t="s">
        <v>111</v>
      </c>
      <c r="M1" s="149" t="s">
        <v>110</v>
      </c>
      <c r="N1" s="149" t="s">
        <v>109</v>
      </c>
      <c r="O1" s="149" t="s">
        <v>108</v>
      </c>
      <c r="P1" s="148" t="s">
        <v>107</v>
      </c>
    </row>
    <row r="2" spans="1:16">
      <c r="A2" s="147" t="s">
        <v>106</v>
      </c>
      <c r="B2" s="146">
        <f>COUNT(K3:K52)</f>
        <v>50</v>
      </c>
      <c r="C2" s="145"/>
      <c r="D2" s="138"/>
      <c r="E2" s="142" t="s">
        <v>105</v>
      </c>
      <c r="F2" s="141">
        <f ca="1">AVERAGE(O4:O52)</f>
        <v>0.74917207358057769</v>
      </c>
      <c r="G2" s="140"/>
      <c r="I2" s="103"/>
      <c r="J2" s="72">
        <v>0</v>
      </c>
      <c r="K2" s="61"/>
      <c r="L2" s="61"/>
      <c r="M2" s="144"/>
      <c r="N2" s="144"/>
      <c r="O2" s="144"/>
      <c r="P2" s="143"/>
    </row>
    <row r="3" spans="1:16">
      <c r="A3" s="124" t="s">
        <v>104</v>
      </c>
      <c r="B3" s="130">
        <f>AVERAGE(K3:K52)</f>
        <v>1.7795427167309177</v>
      </c>
      <c r="C3" s="139"/>
      <c r="D3" s="138"/>
      <c r="E3" s="142" t="s">
        <v>103</v>
      </c>
      <c r="F3" s="141">
        <f ca="1">STDEV(O4:O52)</f>
        <v>1.4099888890962633</v>
      </c>
      <c r="G3" s="140"/>
      <c r="I3" s="103"/>
      <c r="J3" s="72">
        <v>1</v>
      </c>
      <c r="K3" s="20">
        <f>'1. Autocorr'!B3</f>
        <v>1.2999999999999998</v>
      </c>
      <c r="L3" s="20">
        <f t="shared" ref="L3:L34" si="0">K3-AVERAGE($K$3:$K$52)</f>
        <v>-0.47954271673091786</v>
      </c>
      <c r="M3" s="20">
        <v>0</v>
      </c>
      <c r="N3" s="73">
        <v>0</v>
      </c>
      <c r="O3" s="20">
        <v>0</v>
      </c>
      <c r="P3" s="74">
        <v>0</v>
      </c>
    </row>
    <row r="4" spans="1:16">
      <c r="A4" s="124" t="s">
        <v>102</v>
      </c>
      <c r="B4" s="130">
        <f>_xlfn.STDEV.S(K3:K52)</f>
        <v>3.7876279052321848</v>
      </c>
      <c r="C4" s="139"/>
      <c r="D4" s="138"/>
      <c r="E4" s="137" t="s">
        <v>101</v>
      </c>
      <c r="F4" s="136">
        <f ca="1">RSQ(K3:K52,O3:O52)</f>
        <v>0.48184114572579412</v>
      </c>
      <c r="G4" s="135"/>
      <c r="I4" s="103"/>
      <c r="J4" s="72">
        <v>2</v>
      </c>
      <c r="K4" s="20">
        <f>'1. Autocorr'!B4</f>
        <v>8.6</v>
      </c>
      <c r="L4" s="20">
        <f t="shared" si="0"/>
        <v>6.8204572832690822</v>
      </c>
      <c r="M4" s="20">
        <f ca="1">IF($F$6 &lt;= 1,SUMPRODUCT(OFFSET($F$10,-1,0):OFFSET($F$10,-$F$6,0),OFFSET(K4,-$F$6,0):OFFSET(K4,-1,0)),0)</f>
        <v>0.81830786570877945</v>
      </c>
      <c r="N4" s="73">
        <f ca="1">IF($G$6 &lt;= 1,SUMPRODUCT(OFFSET($G$10,-1,0):OFFSET($G$10,-$G$6,0),OFFSET(P4,-$G$6,0):OFFSET(P4,-1,0)),0)</f>
        <v>0</v>
      </c>
      <c r="O4" s="20">
        <f ca="1">IF(F6=1,$B$6+M4+N4,0)</f>
        <v>0.81830786570877945</v>
      </c>
      <c r="P4" s="74">
        <f ca="1">IF(F6=1,K4-O4,0)</f>
        <v>7.7816921342912204</v>
      </c>
    </row>
    <row r="5" spans="1:16">
      <c r="A5" s="134" t="s">
        <v>100</v>
      </c>
      <c r="B5" s="130">
        <f>1.96*B4/SQRT(B2)</f>
        <v>1.0498768915492216</v>
      </c>
      <c r="C5" s="133" t="str">
        <f>IF(B3&gt;B5,"Use Delta from B6", "Delta from B6 not needed")</f>
        <v>Use Delta from B6</v>
      </c>
      <c r="D5" s="132"/>
      <c r="I5" s="103"/>
      <c r="J5" s="72">
        <v>3</v>
      </c>
      <c r="K5" s="20">
        <f>'1. Autocorr'!B5</f>
        <v>12.132</v>
      </c>
      <c r="L5" s="20">
        <f t="shared" si="0"/>
        <v>10.352457283269082</v>
      </c>
      <c r="M5" s="20">
        <f ca="1">IF($F$6 &lt;= 1,SUMPRODUCT(OFFSET($F$10,-1,0):OFFSET($F$10,-$F$6,0),OFFSET(K5,-$F$6,0):OFFSET(K5,-1,0)),0)</f>
        <v>5.41342126545808</v>
      </c>
      <c r="N5" s="73">
        <f ca="1">IF($G$6 &lt;= 2,SUMPRODUCT(OFFSET($G$10,-1,0):OFFSET($G$10,-$G$6,0),OFFSET(P5,-$G$6,0):OFFSET(P5,-1,0)),0)</f>
        <v>-2.8664949341457704</v>
      </c>
      <c r="O5" s="20">
        <f ca="1">IF(F6&lt;=2,$B$6+M5+N5,0)</f>
        <v>2.5469263313123096</v>
      </c>
      <c r="P5" s="74">
        <f ca="1">IF(F6&lt;=2,K5-O5,0)</f>
        <v>9.5850736686876896</v>
      </c>
    </row>
    <row r="6" spans="1:16">
      <c r="A6" s="131" t="s">
        <v>99</v>
      </c>
      <c r="B6" s="130">
        <v>0</v>
      </c>
      <c r="C6" s="129"/>
      <c r="D6" s="128"/>
      <c r="E6" s="127" t="s">
        <v>98</v>
      </c>
      <c r="F6" s="126">
        <v>1</v>
      </c>
      <c r="G6" s="126">
        <v>1</v>
      </c>
      <c r="H6" s="125" t="s">
        <v>97</v>
      </c>
      <c r="I6" s="103"/>
      <c r="J6" s="72">
        <v>4</v>
      </c>
      <c r="K6" s="20">
        <f>'1. Autocorr'!B6</f>
        <v>10.9696</v>
      </c>
      <c r="L6" s="20">
        <f t="shared" si="0"/>
        <v>9.1900572832690823</v>
      </c>
      <c r="M6" s="20">
        <f ca="1">IF($F$6 &lt;= 1,SUMPRODUCT(OFFSET($F$10,-1,0):OFFSET($F$10,-$F$6,0),OFFSET(K6,-$F$6,0):OFFSET(K6,-1,0)),0)</f>
        <v>7.6367007898299333</v>
      </c>
      <c r="N6" s="73">
        <f ca="1">IF($G$6 &lt;= 3,SUMPRODUCT(OFFSET($G$10,-1,0):OFFSET($G$10,-$G$6,0),OFFSET(P6,-$G$6,0):OFFSET(P6,-1,0)),0)</f>
        <v>-3.5307956984872204</v>
      </c>
      <c r="O6" s="20">
        <f ca="1">IF(AND($B$3&gt;$B$5,$F$6&lt;=3),$B$6+M6+N6,M6+N6)</f>
        <v>4.1059050913427129</v>
      </c>
      <c r="P6" s="74">
        <f t="shared" ref="P6:P52" ca="1" si="1">K6-O6</f>
        <v>6.8636949086572869</v>
      </c>
    </row>
    <row r="7" spans="1:16" ht="18">
      <c r="A7" s="124" t="s">
        <v>96</v>
      </c>
      <c r="B7" s="236">
        <f>1.96*SUM(SQRT(K3:K52)/COUNT(K3:K52))</f>
        <v>0.10986187272388905</v>
      </c>
      <c r="C7" s="237" t="str">
        <f>IF(B3&gt;B7,"Non-zero mean","Zero mean")</f>
        <v>Non-zero mean</v>
      </c>
      <c r="D7" s="89"/>
      <c r="E7" s="120" t="s">
        <v>95</v>
      </c>
      <c r="F7" s="107">
        <v>0</v>
      </c>
      <c r="G7" s="119">
        <v>0</v>
      </c>
      <c r="H7" s="118" t="s">
        <v>94</v>
      </c>
      <c r="I7" s="103"/>
      <c r="J7" s="72">
        <v>5</v>
      </c>
      <c r="K7" s="20">
        <f>'1. Autocorr'!B7</f>
        <v>7.8545599999999984</v>
      </c>
      <c r="L7" s="20">
        <f t="shared" si="0"/>
        <v>6.075017283269081</v>
      </c>
      <c r="M7" s="20">
        <f ca="1">IF($F$6 &lt;= 1,SUMPRODUCT(OFFSET($F$10,-1,0):OFFSET($F$10,-$F$6,0),OFFSET(K7,-$F$6,0):OFFSET(K7,-1,0)),0)</f>
        <v>6.9050076643684832</v>
      </c>
      <c r="N7" s="73">
        <f ca="1">IF($G$6 &lt;= 3,SUMPRODUCT(OFFSET($G$10,-1,0):OFFSET($G$10,-$G$6,0),OFFSET(P7,-$G$6,0):OFFSET(P7,-1,0)),0)</f>
        <v>-2.5283378403635939</v>
      </c>
      <c r="O7" s="20">
        <f t="shared" ref="O7:O52" ca="1" si="2">IF(AND($B$3&gt;$B$5,$F$6&lt;=3),$B$6+M7+N7,M7+N7)</f>
        <v>4.3766698240048889</v>
      </c>
      <c r="P7" s="74">
        <f t="shared" ca="1" si="1"/>
        <v>3.4778901759951095</v>
      </c>
    </row>
    <row r="8" spans="1:16" ht="18">
      <c r="A8" s="123" t="s">
        <v>93</v>
      </c>
      <c r="B8" s="122">
        <f>IF($F$6=1,B6/(1-$F$9),IF($F$6=2,B6/(1-$F$9-$F$8),IF($F$6=3,B6/(1-$F$9-$F$8-$F$7),0)))</f>
        <v>0</v>
      </c>
      <c r="C8" s="121"/>
      <c r="D8" s="86"/>
      <c r="E8" s="120" t="s">
        <v>92</v>
      </c>
      <c r="F8" s="107">
        <v>0</v>
      </c>
      <c r="G8" s="119">
        <v>0</v>
      </c>
      <c r="H8" s="118" t="s">
        <v>91</v>
      </c>
      <c r="I8" s="103"/>
      <c r="J8" s="72">
        <v>6</v>
      </c>
      <c r="K8" s="20">
        <f>'1. Autocorr'!B8</f>
        <v>6.9285119999999987</v>
      </c>
      <c r="L8" s="20">
        <f t="shared" si="0"/>
        <v>5.1489692832690812</v>
      </c>
      <c r="M8" s="20">
        <f ca="1">IF($F$6 &lt;= 1,SUMPRODUCT(OFFSET($F$10,-1,0):OFFSET($F$10,-$F$6,0),OFFSET(K8,-$F$6,0):OFFSET(K8,-1,0)),0)</f>
        <v>4.9441909459088844</v>
      </c>
      <c r="N8" s="73">
        <f ca="1">IF($G$6 &lt;= 3,SUMPRODUCT(OFFSET($G$10,-1,0):OFFSET($G$10,-$G$6,0),OFFSET(P8,-$G$6,0):OFFSET(P8,-1,0)),0)</f>
        <v>-1.2811293994880411</v>
      </c>
      <c r="O8" s="20">
        <f t="shared" ca="1" si="2"/>
        <v>3.6630615464208436</v>
      </c>
      <c r="P8" s="74">
        <f t="shared" ca="1" si="1"/>
        <v>3.2654504535791551</v>
      </c>
    </row>
    <row r="9" spans="1:16" ht="18">
      <c r="A9" s="117"/>
      <c r="B9" s="116"/>
      <c r="C9" s="115"/>
      <c r="D9" s="86"/>
      <c r="E9" s="114" t="s">
        <v>90</v>
      </c>
      <c r="F9" s="113">
        <f>'2. Estim'!E18</f>
        <v>0.62946758900675348</v>
      </c>
      <c r="G9" s="243">
        <f>'2. Estim'!F18</f>
        <v>-0.36836396052140391</v>
      </c>
      <c r="H9" s="112" t="s">
        <v>89</v>
      </c>
      <c r="I9" s="104"/>
      <c r="J9" s="72">
        <v>7</v>
      </c>
      <c r="K9" s="20">
        <f>'1. Autocorr'!B9</f>
        <v>3.8660799999999984</v>
      </c>
      <c r="L9" s="20">
        <f t="shared" si="0"/>
        <v>2.0865372832690809</v>
      </c>
      <c r="M9" s="20">
        <f ca="1">IF($F$6 &lt;= 1,SUMPRODUCT(OFFSET($F$10,-1,0):OFFSET($F$10,-$F$6,0),OFFSET(K9,-$F$6,0):OFFSET(K9,-1,0)),0)</f>
        <v>4.3612737440443583</v>
      </c>
      <c r="N9" s="73">
        <f ca="1">IF($G$6 &lt;= 3,SUMPRODUCT(OFFSET($G$10,-1,0):OFFSET($G$10,-$G$6,0),OFFSET(P9,-$G$6,0):OFFSET(P9,-1,0)),0)</f>
        <v>-1.2028742619668324</v>
      </c>
      <c r="O9" s="20">
        <f t="shared" ca="1" si="2"/>
        <v>3.1583994820775256</v>
      </c>
      <c r="P9" s="74">
        <f t="shared" ca="1" si="1"/>
        <v>0.70768051792247277</v>
      </c>
    </row>
    <row r="10" spans="1:16">
      <c r="A10" s="111" t="s">
        <v>88</v>
      </c>
      <c r="B10" s="110" t="s">
        <v>12</v>
      </c>
      <c r="C10" s="109" t="s">
        <v>87</v>
      </c>
      <c r="D10" s="86"/>
      <c r="E10" s="105" t="s">
        <v>86</v>
      </c>
      <c r="F10" s="102"/>
      <c r="G10" s="101"/>
      <c r="H10" s="103"/>
      <c r="I10" s="76"/>
      <c r="J10" s="72">
        <v>8</v>
      </c>
      <c r="K10" s="20">
        <f>'1. Autocorr'!B10</f>
        <v>2.9443020799999982</v>
      </c>
      <c r="L10" s="20">
        <f t="shared" si="0"/>
        <v>1.1647593632690805</v>
      </c>
      <c r="M10" s="20">
        <f ca="1">IF($F$6 &lt;= 1,SUMPRODUCT(OFFSET($F$10,-1,0):OFFSET($F$10,-$F$6,0),OFFSET(K10,-$F$6,0):OFFSET(K10,-1,0)),0)</f>
        <v>2.4335720565072285</v>
      </c>
      <c r="N10" s="73">
        <f ca="1">IF($G$6 &lt;= 3,SUMPRODUCT(OFFSET($G$10,-1,0):OFFSET($G$10,-$G$6,0),OFFSET(P10,-$G$6,0):OFFSET(P10,-1,0)),0)</f>
        <v>-0.26068399836576045</v>
      </c>
      <c r="O10" s="20">
        <f t="shared" ca="1" si="2"/>
        <v>2.172888058141468</v>
      </c>
      <c r="P10" s="74">
        <f t="shared" ca="1" si="1"/>
        <v>0.77141402185853014</v>
      </c>
    </row>
    <row r="11" spans="1:16" ht="18">
      <c r="A11" s="83" t="s">
        <v>85</v>
      </c>
      <c r="B11" s="107">
        <f>ABS(F9)</f>
        <v>0.62946758900675348</v>
      </c>
      <c r="C11" s="87" t="str">
        <f>IF(ABS(B11)&lt;1,"OK","No")</f>
        <v>OK</v>
      </c>
      <c r="D11" s="89"/>
      <c r="E11" s="105" t="s">
        <v>238</v>
      </c>
      <c r="F11" s="102"/>
      <c r="G11" s="101"/>
      <c r="H11" s="103"/>
      <c r="I11" s="76"/>
      <c r="J11" s="72">
        <v>9</v>
      </c>
      <c r="K11" s="20">
        <f>'1. Autocorr'!B11</f>
        <v>-0.12313113600000225</v>
      </c>
      <c r="L11" s="20">
        <f t="shared" si="0"/>
        <v>-1.9026738527309199</v>
      </c>
      <c r="M11" s="20">
        <f ca="1">IF($F$6 &lt;= 1,SUMPRODUCT(OFFSET($F$10,-1,0):OFFSET($F$10,-$F$6,0),OFFSET(K11,-$F$6,0):OFFSET(K11,-1,0)),0)</f>
        <v>1.8533427316051683</v>
      </c>
      <c r="N11" s="73">
        <f ca="1">IF($G$6 &lt;= 3,SUMPRODUCT(OFFSET($G$10,-1,0):OFFSET($G$10,-$G$6,0),OFFSET(P11,-$G$6,0):OFFSET(P11,-1,0)),0)</f>
        <v>-0.284161124293553</v>
      </c>
      <c r="O11" s="20">
        <f t="shared" ca="1" si="2"/>
        <v>1.5691816073116152</v>
      </c>
      <c r="P11" s="74">
        <f t="shared" ca="1" si="1"/>
        <v>-1.6923127433116174</v>
      </c>
    </row>
    <row r="12" spans="1:16" ht="18">
      <c r="A12" s="83" t="s">
        <v>84</v>
      </c>
      <c r="B12" s="107">
        <f>ABS(G9)</f>
        <v>0.36836396052140391</v>
      </c>
      <c r="C12" s="87" t="str">
        <f>IF(ABS(B12)&lt;1,"OK","No")</f>
        <v>OK</v>
      </c>
      <c r="D12" s="89"/>
      <c r="E12" s="84" t="s">
        <v>239</v>
      </c>
      <c r="F12" s="102"/>
      <c r="G12" s="101"/>
      <c r="H12" s="103"/>
      <c r="I12" s="108"/>
      <c r="J12" s="72">
        <v>10</v>
      </c>
      <c r="K12" s="20">
        <f>'1. Autocorr'!B12</f>
        <v>4.9504067583999998</v>
      </c>
      <c r="L12" s="20">
        <f t="shared" si="0"/>
        <v>3.1708640416690823</v>
      </c>
      <c r="M12" s="20">
        <f ca="1">IF($F$6 &lt;= 1,SUMPRODUCT(OFFSET($F$10,-1,0):OFFSET($F$10,-$F$6,0),OFFSET(K12,-$F$6,0):OFFSET(K12,-1,0)),0)</f>
        <v>-7.7507059309584084E-2</v>
      </c>
      <c r="N12" s="73">
        <f ca="1">IF($G$6 &lt;= 3,SUMPRODUCT(OFFSET($G$10,-1,0):OFFSET($G$10,-$G$6,0),OFFSET(P12,-$G$6,0):OFFSET(P12,-1,0)),0)</f>
        <v>0.62338702456710937</v>
      </c>
      <c r="O12" s="20">
        <f t="shared" ca="1" si="2"/>
        <v>0.54587996525752525</v>
      </c>
      <c r="P12" s="74">
        <f t="shared" ca="1" si="1"/>
        <v>4.404526793142475</v>
      </c>
    </row>
    <row r="13" spans="1:16" ht="18">
      <c r="A13" s="83" t="s">
        <v>83</v>
      </c>
      <c r="B13" s="107">
        <f>ABS(F8)</f>
        <v>0</v>
      </c>
      <c r="C13" s="87" t="str">
        <f>IF(ABS(B13)&lt;1,"OK","No")</f>
        <v>OK</v>
      </c>
      <c r="D13" s="86"/>
      <c r="E13" s="84" t="s">
        <v>240</v>
      </c>
      <c r="F13" s="102"/>
      <c r="G13" s="101"/>
      <c r="H13" s="103"/>
      <c r="I13" s="76"/>
      <c r="J13" s="72">
        <v>11</v>
      </c>
      <c r="K13" s="20">
        <f>'1. Autocorr'!B13</f>
        <v>3.2800263884799983</v>
      </c>
      <c r="L13" s="20">
        <f t="shared" si="0"/>
        <v>1.5004836717490806</v>
      </c>
      <c r="M13" s="20">
        <f ca="1">IF($F$6 &lt;= 1,SUMPRODUCT(OFFSET($F$10,-1,0):OFFSET($F$10,-$F$6,0),OFFSET(K13,-$F$6,0):OFFSET(K13,-1,0)),0)</f>
        <v>3.1161206068127858</v>
      </c>
      <c r="N13" s="73">
        <f ca="1">IF($G$6 &lt;= 3,SUMPRODUCT(OFFSET($G$10,-1,0):OFFSET($G$10,-$G$6,0),OFFSET(P13,-$G$6,0):OFFSET(P13,-1,0)),0)</f>
        <v>-1.6224689337446003</v>
      </c>
      <c r="O13" s="20">
        <f t="shared" ca="1" si="2"/>
        <v>1.4936516730681855</v>
      </c>
      <c r="P13" s="74">
        <f t="shared" ca="1" si="1"/>
        <v>1.7863747154118128</v>
      </c>
    </row>
    <row r="14" spans="1:16" ht="18">
      <c r="A14" s="85" t="s">
        <v>82</v>
      </c>
      <c r="B14" s="107">
        <f>F9+F8</f>
        <v>0.62946758900675348</v>
      </c>
      <c r="C14" s="106" t="str">
        <f>IF(F9+F8&lt;1,"OK","No")</f>
        <v>OK</v>
      </c>
      <c r="D14" s="89"/>
      <c r="E14" s="103"/>
      <c r="F14" s="102"/>
      <c r="G14" s="101"/>
      <c r="H14" s="76"/>
      <c r="I14" s="76"/>
      <c r="J14" s="72">
        <v>12</v>
      </c>
      <c r="K14" s="20">
        <f>'1. Autocorr'!B14</f>
        <v>-8.8043970560002904E-2</v>
      </c>
      <c r="L14" s="20">
        <f t="shared" si="0"/>
        <v>-1.8675866872909206</v>
      </c>
      <c r="M14" s="20">
        <f ca="1">IF($F$6 &lt;= 1,SUMPRODUCT(OFFSET($F$10,-1,0):OFFSET($F$10,-$F$6,0),OFFSET(K14,-$F$6,0):OFFSET(K14,-1,0)),0)</f>
        <v>2.0646703026350335</v>
      </c>
      <c r="N14" s="73">
        <f ca="1">IF($G$6 &lt;= 3,SUMPRODUCT(OFFSET($G$10,-1,0):OFFSET($G$10,-$G$6,0),OFFSET(P14,-$G$6,0):OFFSET(P14,-1,0)),0)</f>
        <v>-0.65803606514439117</v>
      </c>
      <c r="O14" s="20">
        <f t="shared" ca="1" si="2"/>
        <v>1.4066342374906422</v>
      </c>
      <c r="P14" s="74">
        <f t="shared" ca="1" si="1"/>
        <v>-1.4946782080506451</v>
      </c>
    </row>
    <row r="15" spans="1:16" ht="18">
      <c r="A15" s="85" t="s">
        <v>81</v>
      </c>
      <c r="B15" s="82">
        <f>F8-F9</f>
        <v>-0.62946758900675348</v>
      </c>
      <c r="C15" s="81" t="str">
        <f>IF(F8-F9&lt;1,"OK","No")</f>
        <v>OK</v>
      </c>
      <c r="D15" s="89"/>
      <c r="E15" s="100"/>
      <c r="F15" s="99" t="s">
        <v>79</v>
      </c>
      <c r="G15" s="98"/>
      <c r="H15" s="92"/>
      <c r="I15" s="76"/>
      <c r="J15" s="72">
        <v>13</v>
      </c>
      <c r="K15" s="20">
        <f>'1. Autocorr'!B15</f>
        <v>2.8647606013951963</v>
      </c>
      <c r="L15" s="20">
        <f t="shared" si="0"/>
        <v>1.0852178846642786</v>
      </c>
      <c r="M15" s="20">
        <f ca="1">IF($F$6 &lt;= 1,SUMPRODUCT(OFFSET($F$10,-1,0):OFFSET($F$10,-$F$6,0),OFFSET(K15,-$F$6,0):OFFSET(K15,-1,0)),0)</f>
        <v>-5.5420825874986611E-2</v>
      </c>
      <c r="N15" s="73">
        <f ca="1">IF($G$6 &lt;= 3,SUMPRODUCT(OFFSET($G$10,-1,0):OFFSET($G$10,-$G$6,0),OFFSET(P15,-$G$6,0):OFFSET(P15,-1,0)),0)</f>
        <v>0.55058558442257055</v>
      </c>
      <c r="O15" s="20">
        <f t="shared" ca="1" si="2"/>
        <v>0.49516475854758396</v>
      </c>
      <c r="P15" s="74">
        <f t="shared" ca="1" si="1"/>
        <v>2.3695958428476125</v>
      </c>
    </row>
    <row r="16" spans="1:16" ht="18">
      <c r="A16" s="83" t="s">
        <v>80</v>
      </c>
      <c r="B16" s="82">
        <f>ABS(G8)</f>
        <v>0</v>
      </c>
      <c r="C16" s="87" t="str">
        <f>IF(ABS(B16)&lt;1,"OK","No")</f>
        <v>OK</v>
      </c>
      <c r="D16" s="86"/>
      <c r="E16" s="96" t="s">
        <v>77</v>
      </c>
      <c r="F16" s="97"/>
      <c r="G16" s="96" t="s">
        <v>76</v>
      </c>
      <c r="H16" s="92"/>
      <c r="I16" s="76"/>
      <c r="J16" s="72">
        <v>14</v>
      </c>
      <c r="K16" s="20">
        <f>'1. Autocorr'!B16</f>
        <v>3.345895516405756</v>
      </c>
      <c r="L16" s="20">
        <f t="shared" si="0"/>
        <v>1.5663527996748383</v>
      </c>
      <c r="M16" s="20">
        <f ca="1">IF($F$6 &lt;= 1,SUMPRODUCT(OFFSET($F$10,-1,0):OFFSET($F$10,-$F$6,0),OFFSET(K16,-$F$6,0):OFFSET(K16,-1,0)),0)</f>
        <v>1.8032739488417713</v>
      </c>
      <c r="N16" s="73">
        <f ca="1">IF($G$6 &lt;= 3,SUMPRODUCT(OFFSET($G$10,-1,0):OFFSET($G$10,-$G$6,0),OFFSET(P16,-$G$6,0):OFFSET(P16,-1,0)),0)</f>
        <v>-0.87287370950640075</v>
      </c>
      <c r="O16" s="20">
        <f t="shared" ca="1" si="2"/>
        <v>0.93040023933537053</v>
      </c>
      <c r="P16" s="74">
        <f t="shared" ca="1" si="1"/>
        <v>2.4154952770703852</v>
      </c>
    </row>
    <row r="17" spans="1:16" ht="18">
      <c r="A17" s="85" t="s">
        <v>78</v>
      </c>
      <c r="B17" s="82">
        <f>G9+G8</f>
        <v>-0.36836396052140391</v>
      </c>
      <c r="C17" s="81" t="str">
        <f>IF(G9+G8&lt;1,"OK","No")</f>
        <v>OK</v>
      </c>
      <c r="D17" s="89"/>
      <c r="E17" s="93" t="s">
        <v>74</v>
      </c>
      <c r="F17" s="94"/>
      <c r="G17" s="93" t="s">
        <v>73</v>
      </c>
      <c r="H17" s="92"/>
      <c r="I17" s="76"/>
      <c r="J17" s="72">
        <v>15</v>
      </c>
      <c r="K17" s="20">
        <f>'1. Autocorr'!B17</f>
        <v>1.8383547169013719</v>
      </c>
      <c r="L17" s="20">
        <f t="shared" si="0"/>
        <v>5.8812000170454182E-2</v>
      </c>
      <c r="M17" s="20">
        <f ca="1">IF($F$6 &lt;= 1,SUMPRODUCT(OFFSET($F$10,-1,0):OFFSET($F$10,-$F$6,0),OFFSET(K17,-$F$6,0):OFFSET(K17,-1,0)),0)</f>
        <v>2.1061327837804376</v>
      </c>
      <c r="N17" s="73">
        <f ca="1">IF($G$6 &lt;= 3,SUMPRODUCT(OFFSET($G$10,-1,0):OFFSET($G$10,-$G$6,0),OFFSET(P17,-$G$6,0):OFFSET(P17,-1,0)),0)</f>
        <v>-0.88978140688239304</v>
      </c>
      <c r="O17" s="20">
        <f t="shared" ca="1" si="2"/>
        <v>1.2163513768980445</v>
      </c>
      <c r="P17" s="74">
        <f t="shared" ca="1" si="1"/>
        <v>0.62200334000332735</v>
      </c>
    </row>
    <row r="18" spans="1:16" ht="18">
      <c r="A18" s="85" t="s">
        <v>75</v>
      </c>
      <c r="B18" s="82">
        <f>G8-G9</f>
        <v>0.36836396052140391</v>
      </c>
      <c r="C18" s="81" t="str">
        <f>IF(G8-G9&lt;1,"OK","No")</f>
        <v>OK</v>
      </c>
      <c r="D18" s="89"/>
      <c r="E18" s="93" t="s">
        <v>71</v>
      </c>
      <c r="F18" s="95"/>
      <c r="G18" s="93" t="s">
        <v>70</v>
      </c>
      <c r="H18" s="92"/>
      <c r="I18" s="76"/>
      <c r="J18" s="72">
        <v>16</v>
      </c>
      <c r="K18" s="20">
        <f>'1. Autocorr'!B18</f>
        <v>4.535340490896175</v>
      </c>
      <c r="L18" s="20">
        <f t="shared" si="0"/>
        <v>2.7557977741652575</v>
      </c>
      <c r="M18" s="20">
        <f ca="1">IF($F$6 &lt;= 1,SUMPRODUCT(OFFSET($F$10,-1,0):OFFSET($F$10,-$F$6,0),OFFSET(K18,-$F$6,0):OFFSET(K18,-1,0)),0)</f>
        <v>1.1571847113870994</v>
      </c>
      <c r="N18" s="73">
        <f ca="1">IF($G$6 &lt;= 3,SUMPRODUCT(OFFSET($G$10,-1,0):OFFSET($G$10,-$G$6,0),OFFSET(P18,-$G$6,0):OFFSET(P18,-1,0)),0)</f>
        <v>-0.22912361378116705</v>
      </c>
      <c r="O18" s="20">
        <f t="shared" ca="1" si="2"/>
        <v>0.92806109760593236</v>
      </c>
      <c r="P18" s="74">
        <f t="shared" ca="1" si="1"/>
        <v>3.6072793932902427</v>
      </c>
    </row>
    <row r="19" spans="1:16" ht="18">
      <c r="A19" s="83" t="s">
        <v>72</v>
      </c>
      <c r="B19" s="82">
        <f>ABS(F7)</f>
        <v>0</v>
      </c>
      <c r="C19" s="87" t="str">
        <f>IF(ABS(B19)&lt;1,"OK","No")</f>
        <v>OK</v>
      </c>
      <c r="D19" s="86"/>
      <c r="E19" s="93" t="s">
        <v>68</v>
      </c>
      <c r="F19" s="94"/>
      <c r="G19" s="93" t="s">
        <v>67</v>
      </c>
      <c r="H19" s="92"/>
      <c r="I19" s="80"/>
      <c r="J19" s="72">
        <v>17</v>
      </c>
      <c r="K19" s="20">
        <f>'1. Autocorr'!B19</f>
        <v>0.91413563801271902</v>
      </c>
      <c r="L19" s="20">
        <f t="shared" si="0"/>
        <v>-0.86540707871819866</v>
      </c>
      <c r="M19" s="20">
        <f ca="1">IF($F$6 &lt;= 1,SUMPRODUCT(OFFSET($F$10,-1,0):OFFSET($F$10,-$F$6,0),OFFSET(K19,-$F$6,0):OFFSET(K19,-1,0)),0)</f>
        <v>2.854849844129121</v>
      </c>
      <c r="N19" s="73">
        <f ca="1">IF($G$6 &lt;= 3,SUMPRODUCT(OFFSET($G$10,-1,0):OFFSET($G$10,-$G$6,0),OFFSET(P19,-$G$6,0):OFFSET(P19,-1,0)),0)</f>
        <v>-1.3287917240196407</v>
      </c>
      <c r="O19" s="20">
        <f t="shared" ca="1" si="2"/>
        <v>1.5260581201094803</v>
      </c>
      <c r="P19" s="74">
        <f t="shared" ca="1" si="1"/>
        <v>-0.61192248209676126</v>
      </c>
    </row>
    <row r="20" spans="1:16" ht="18">
      <c r="A20" s="85" t="s">
        <v>69</v>
      </c>
      <c r="B20" s="82">
        <f>F9+F8+F7</f>
        <v>0.62946758900675348</v>
      </c>
      <c r="C20" s="81" t="str">
        <f>IF(F9+F8+F7&lt;1,"OK","No")</f>
        <v>OK</v>
      </c>
      <c r="D20" s="86"/>
      <c r="E20" s="76"/>
      <c r="F20" s="88"/>
      <c r="G20" s="76"/>
      <c r="H20" s="76"/>
      <c r="I20" s="91"/>
      <c r="J20" s="72">
        <v>18</v>
      </c>
      <c r="K20" s="20">
        <f>'1. Autocorr'!B20</f>
        <v>1.7656540318667853</v>
      </c>
      <c r="L20" s="20">
        <f t="shared" si="0"/>
        <v>-1.3888684864132417E-2</v>
      </c>
      <c r="M20" s="20">
        <f ca="1">IF($F$6 &lt;= 1,SUMPRODUCT(OFFSET($F$10,-1,0):OFFSET($F$10,-$F$6,0),OFFSET(K20,-$F$6,0):OFFSET(K20,-1,0)),0)</f>
        <v>0.57541875608501658</v>
      </c>
      <c r="N20" s="73">
        <f ca="1">IF($G$6 &lt;= 3,SUMPRODUCT(OFFSET($G$10,-1,0):OFFSET($G$10,-$G$6,0),OFFSET(P20,-$G$6,0):OFFSET(P20,-1,0)),0)</f>
        <v>0.22541018903725085</v>
      </c>
      <c r="O20" s="20">
        <f t="shared" ca="1" si="2"/>
        <v>0.80082894512226743</v>
      </c>
      <c r="P20" s="74">
        <f t="shared" ca="1" si="1"/>
        <v>0.96482508674451783</v>
      </c>
    </row>
    <row r="21" spans="1:16" ht="18">
      <c r="A21" s="83" t="s">
        <v>66</v>
      </c>
      <c r="B21" s="82">
        <f>-F9+F8-F7</f>
        <v>-0.62946758900675348</v>
      </c>
      <c r="C21" s="81" t="str">
        <f>IF(-F9+F8-F7&lt;1,"OK","No")</f>
        <v>OK</v>
      </c>
      <c r="D21" s="89"/>
      <c r="E21" s="175" t="s">
        <v>124</v>
      </c>
      <c r="F21" s="174" t="s">
        <v>12</v>
      </c>
      <c r="G21" s="173" t="s">
        <v>87</v>
      </c>
      <c r="H21" s="76"/>
      <c r="I21" s="75"/>
      <c r="J21" s="72">
        <v>19</v>
      </c>
      <c r="K21" s="20">
        <f>'1. Autocorr'!B21</f>
        <v>2.4062615234113913</v>
      </c>
      <c r="L21" s="20">
        <f t="shared" si="0"/>
        <v>0.62671880668047364</v>
      </c>
      <c r="M21" s="20">
        <f ca="1">IF($F$6 &lt;= 1,SUMPRODUCT(OFFSET($F$10,-1,0):OFFSET($F$10,-$F$6,0),OFFSET(K21,-$F$6,0):OFFSET(K21,-1,0)),0)</f>
        <v>1.1114219864592387</v>
      </c>
      <c r="N21" s="73">
        <f ca="1">IF($G$6 &lt;= 3,SUMPRODUCT(OFFSET($G$10,-1,0):OFFSET($G$10,-$G$6,0),OFFSET(P21,-$G$6,0):OFFSET(P21,-1,0)),0)</f>
        <v>-0.35540679016361765</v>
      </c>
      <c r="O21" s="20">
        <f t="shared" ca="1" si="2"/>
        <v>0.75601519629562108</v>
      </c>
      <c r="P21" s="74">
        <f t="shared" ca="1" si="1"/>
        <v>1.6502463271157701</v>
      </c>
    </row>
    <row r="22" spans="1:16" ht="18">
      <c r="A22" s="85" t="s">
        <v>65</v>
      </c>
      <c r="B22" s="82">
        <f>F7*(F7-F9)-F8</f>
        <v>0</v>
      </c>
      <c r="C22" s="90" t="str">
        <f>IF(F7*(F7-F9)-F8&lt;1,"OK","No")</f>
        <v>OK</v>
      </c>
      <c r="D22" s="89"/>
      <c r="E22" s="166" t="s">
        <v>123</v>
      </c>
      <c r="F22" s="172">
        <f ca="1">AVERAGE(P4:P52)</f>
        <v>1.0401572292060723</v>
      </c>
      <c r="G22" s="162"/>
      <c r="H22" s="76"/>
      <c r="I22" s="75"/>
      <c r="J22" s="72">
        <v>20</v>
      </c>
      <c r="K22" s="20">
        <f>'1. Autocorr'!B22</f>
        <v>4.962504573630425</v>
      </c>
      <c r="L22" s="20">
        <f t="shared" si="0"/>
        <v>3.1829618568995075</v>
      </c>
      <c r="M22" s="20">
        <f ca="1">IF($F$6 &lt;= 1,SUMPRODUCT(OFFSET($F$10,-1,0):OFFSET($F$10,-$F$6,0),OFFSET(K22,-$F$6,0):OFFSET(K22,-1,0)),0)</f>
        <v>1.5146636396614861</v>
      </c>
      <c r="N22" s="73">
        <f ca="1">IF($G$6 &lt;= 3,SUMPRODUCT(OFFSET($G$10,-1,0):OFFSET($G$10,-$G$6,0),OFFSET(P22,-$G$6,0):OFFSET(P22,-1,0)),0)</f>
        <v>-0.6078912728922653</v>
      </c>
      <c r="O22" s="20">
        <f t="shared" ca="1" si="2"/>
        <v>0.90677236676922079</v>
      </c>
      <c r="P22" s="74">
        <f t="shared" ca="1" si="1"/>
        <v>4.0557322068612045</v>
      </c>
    </row>
    <row r="23" spans="1:16" ht="18">
      <c r="A23" s="83" t="s">
        <v>64</v>
      </c>
      <c r="B23" s="82">
        <f>ABS(G7)</f>
        <v>0</v>
      </c>
      <c r="C23" s="87" t="str">
        <f>IF(ABS(B23)&lt;1,"OK","No")</f>
        <v>OK</v>
      </c>
      <c r="D23" s="86"/>
      <c r="E23" s="164" t="s">
        <v>122</v>
      </c>
      <c r="F23" s="168">
        <f ca="1">STDEV(P4:P52)/SQRT(COUNT(P4:P52))</f>
        <v>0.43166857116416912</v>
      </c>
      <c r="G23" s="162"/>
      <c r="H23" s="80"/>
      <c r="I23" s="75"/>
      <c r="J23" s="72">
        <v>21</v>
      </c>
      <c r="K23" s="20">
        <f>'1. Autocorr'!B23</f>
        <v>1.2850018151585152</v>
      </c>
      <c r="L23" s="20">
        <f t="shared" si="0"/>
        <v>-0.49454090157240249</v>
      </c>
      <c r="M23" s="20">
        <f ca="1">IF($F$6 &lt;= 1,SUMPRODUCT(OFFSET($F$10,-1,0):OFFSET($F$10,-$F$6,0),OFFSET(K23,-$F$6,0):OFFSET(K23,-1,0)),0)</f>
        <v>3.1237357893981308</v>
      </c>
      <c r="N23" s="73">
        <f ca="1">IF($G$6 &lt;= 3,SUMPRODUCT(OFFSET($G$10,-1,0):OFFSET($G$10,-$G$6,0),OFFSET(P23,-$G$6,0):OFFSET(P23,-1,0)),0)</f>
        <v>-1.4939855785336071</v>
      </c>
      <c r="O23" s="20">
        <f t="shared" ca="1" si="2"/>
        <v>1.6297502108645237</v>
      </c>
      <c r="P23" s="74">
        <f t="shared" ca="1" si="1"/>
        <v>-0.34474839570600846</v>
      </c>
    </row>
    <row r="24" spans="1:16" ht="18">
      <c r="A24" s="85" t="s">
        <v>63</v>
      </c>
      <c r="B24" s="82">
        <f>G9+G8+G7</f>
        <v>-0.36836396052140391</v>
      </c>
      <c r="C24" s="81" t="str">
        <f>IF(G9+G8+G7&lt;1,"OK","No")</f>
        <v>OK</v>
      </c>
      <c r="D24" s="76"/>
      <c r="E24" s="164" t="s">
        <v>121</v>
      </c>
      <c r="F24" s="172">
        <f ca="1">1.96*F23/SQRT(COUNT(P4:P52))</f>
        <v>0.12086719992596735</v>
      </c>
      <c r="G24" s="171" t="str">
        <f ca="1">IF(F22&gt;F24,"Nonzero mean, 95% confidence","Zero mean, 95% confidence")</f>
        <v>Nonzero mean, 95% confidence</v>
      </c>
      <c r="H24" s="76"/>
      <c r="I24" s="75"/>
      <c r="J24" s="72">
        <v>22</v>
      </c>
      <c r="K24" s="20">
        <f>'1. Autocorr'!B24</f>
        <v>2.1140007203459419</v>
      </c>
      <c r="L24" s="20">
        <f t="shared" si="0"/>
        <v>0.3344580036150242</v>
      </c>
      <c r="M24" s="20">
        <f ca="1">IF($F$6 &lt;= 1,SUMPRODUCT(OFFSET($F$10,-1,0):OFFSET($F$10,-$F$6,0),OFFSET(K24,-$F$6,0):OFFSET(K24,-1,0)),0)</f>
        <v>0.80886699445713239</v>
      </c>
      <c r="N24" s="73">
        <f ca="1">IF($G$6 &lt;= 3,SUMPRODUCT(OFFSET($G$10,-1,0):OFFSET($G$10,-$G$6,0),OFFSET(P24,-$G$6,0):OFFSET(P24,-1,0)),0)</f>
        <v>0.12699288442566542</v>
      </c>
      <c r="O24" s="20">
        <f t="shared" ca="1" si="2"/>
        <v>0.93585987888279787</v>
      </c>
      <c r="P24" s="74">
        <f t="shared" ca="1" si="1"/>
        <v>1.178140841463144</v>
      </c>
    </row>
    <row r="25" spans="1:16" ht="18">
      <c r="A25" s="83" t="s">
        <v>62</v>
      </c>
      <c r="B25" s="82">
        <f>-G9+G8-G7</f>
        <v>0.36836396052140391</v>
      </c>
      <c r="C25" s="81" t="str">
        <f>IF(-G9+G8-G7&lt;1,"OK","No")</f>
        <v>OK</v>
      </c>
      <c r="D25" s="76"/>
      <c r="E25" s="164" t="s">
        <v>120</v>
      </c>
      <c r="F25" s="170">
        <f ca="1">LN(VARP(P4:P52))+((2/COUNT(P4:P52))*('3. Model'!F6+'3. Model'!G6+2))</f>
        <v>2.35427195390431</v>
      </c>
      <c r="G25" s="169"/>
      <c r="H25" s="76"/>
      <c r="I25" s="75"/>
      <c r="J25" s="72">
        <v>23</v>
      </c>
      <c r="K25" s="20">
        <f>'1. Autocorr'!B25</f>
        <v>2.7456002858513884</v>
      </c>
      <c r="L25" s="20">
        <f t="shared" si="0"/>
        <v>0.96605756912047069</v>
      </c>
      <c r="M25" s="20">
        <f ca="1">IF($F$6 &lt;= 1,SUMPRODUCT(OFFSET($F$10,-1,0):OFFSET($F$10,-$F$6,0),OFFSET(K25,-$F$6,0):OFFSET(K25,-1,0)),0)</f>
        <v>1.3306949365947001</v>
      </c>
      <c r="N25" s="73">
        <f ca="1">IF($G$6 &lt;= 3,SUMPRODUCT(OFFSET($G$10,-1,0):OFFSET($G$10,-$G$6,0),OFFSET(P25,-$G$6,0):OFFSET(P25,-1,0)),0)</f>
        <v>-0.43398462641338315</v>
      </c>
      <c r="O25" s="20">
        <f t="shared" ca="1" si="2"/>
        <v>0.89671031018131697</v>
      </c>
      <c r="P25" s="74">
        <f t="shared" ca="1" si="1"/>
        <v>1.8488899756700714</v>
      </c>
    </row>
    <row r="26" spans="1:16" ht="18">
      <c r="A26" s="79" t="s">
        <v>61</v>
      </c>
      <c r="B26" s="78">
        <f>G7*(G7-G9)-G8</f>
        <v>0</v>
      </c>
      <c r="C26" s="77" t="str">
        <f>IF(G7*(G7-G9)-G8&lt;1,"OK","No")</f>
        <v>OK</v>
      </c>
      <c r="D26" s="76"/>
      <c r="E26" s="164" t="s">
        <v>119</v>
      </c>
      <c r="F26" s="168">
        <f ca="1">LN(VARP(P4:P52))+(LN(COUNT(P4:P52)/COUNT(P4:P52)*('3. Model'!F6+'3. Model'!G6+2)))</f>
        <v>3.5773010089017516</v>
      </c>
      <c r="G26" s="162"/>
      <c r="H26" s="75"/>
      <c r="I26" s="75"/>
      <c r="J26" s="72">
        <v>24</v>
      </c>
      <c r="K26" s="20">
        <f>'1. Autocorr'!B26</f>
        <v>1.2982401134257575</v>
      </c>
      <c r="L26" s="20">
        <f t="shared" si="0"/>
        <v>-0.48130260330516017</v>
      </c>
      <c r="M26" s="20">
        <f ca="1">IF($F$6 &lt;= 1,SUMPRODUCT(OFFSET($F$10,-1,0):OFFSET($F$10,-$F$6,0),OFFSET(K26,-$F$6,0):OFFSET(K26,-1,0)),0)</f>
        <v>1.7282663923111266</v>
      </c>
      <c r="N26" s="73">
        <f ca="1">IF($G$6 &lt;= 3,SUMPRODUCT(OFFSET($G$10,-1,0):OFFSET($G$10,-$G$6,0),OFFSET(P26,-$G$6,0):OFFSET(P26,-1,0)),0)</f>
        <v>-0.68106443400614958</v>
      </c>
      <c r="O26" s="20">
        <f t="shared" ca="1" si="2"/>
        <v>1.047201958304977</v>
      </c>
      <c r="P26" s="74">
        <f t="shared" ca="1" si="1"/>
        <v>0.25103815512078054</v>
      </c>
    </row>
    <row r="27" spans="1:16">
      <c r="E27" s="166" t="s">
        <v>118</v>
      </c>
      <c r="F27" s="167">
        <f ca="1">SUMSQ(P4:P52)</f>
        <v>491.28082655032591</v>
      </c>
      <c r="G27" s="162"/>
      <c r="H27" s="75"/>
      <c r="I27" s="75"/>
      <c r="J27" s="72">
        <v>25</v>
      </c>
      <c r="K27" s="20">
        <f>'1. Autocorr'!B27</f>
        <v>1.9296045004381313E-2</v>
      </c>
      <c r="L27" s="20">
        <f t="shared" si="0"/>
        <v>-1.7602466717265364</v>
      </c>
      <c r="M27" s="20">
        <f ca="1">IF($F$6 &lt;= 1,SUMPRODUCT(OFFSET($F$10,-1,0):OFFSET($F$10,-$F$6,0),OFFSET(K27,-$F$6,0):OFFSET(K27,-1,0)),0)</f>
        <v>0.81720007414996576</v>
      </c>
      <c r="N27" s="73">
        <f ca="1">IF($G$6 &lt;= 3,SUMPRODUCT(OFFSET($G$10,-1,0):OFFSET($G$10,-$G$6,0),OFFSET(P27,-$G$6,0):OFFSET(P27,-1,0)),0)</f>
        <v>-9.2473409062277273E-2</v>
      </c>
      <c r="O27" s="20">
        <f t="shared" ca="1" si="2"/>
        <v>0.72472666508768846</v>
      </c>
      <c r="P27" s="74">
        <f t="shared" ca="1" si="1"/>
        <v>-0.70543062008330715</v>
      </c>
    </row>
    <row r="28" spans="1:16">
      <c r="E28" s="166" t="s">
        <v>117</v>
      </c>
      <c r="F28" s="165">
        <f ca="1">SQRT(F27/(COUNT(P4:P52)))</f>
        <v>3.166407951820736</v>
      </c>
      <c r="G28" s="162"/>
      <c r="H28" s="75"/>
      <c r="I28" s="75"/>
      <c r="J28" s="72">
        <v>26</v>
      </c>
      <c r="K28" s="20">
        <f>'1. Autocorr'!B28</f>
        <v>0.8077184178553809</v>
      </c>
      <c r="L28" s="20">
        <f t="shared" si="0"/>
        <v>-0.97182429887553679</v>
      </c>
      <c r="M28" s="20">
        <f ca="1">IF($F$6 &lt;= 1,SUMPRODUCT(OFFSET($F$10,-1,0):OFFSET($F$10,-$F$6,0),OFFSET(K28,-$F$6,0):OFFSET(K28,-1,0)),0)</f>
        <v>1.2146234926273715E-2</v>
      </c>
      <c r="N28" s="73">
        <f ca="1">IF($G$6 &lt;= 3,SUMPRODUCT(OFFSET($G$10,-1,0):OFFSET($G$10,-$G$6,0),OFFSET(P28,-$G$6,0):OFFSET(P28,-1,0)),0)</f>
        <v>0.25985521708695686</v>
      </c>
      <c r="O28" s="20">
        <f t="shared" ca="1" si="2"/>
        <v>0.27200145201323056</v>
      </c>
      <c r="P28" s="74">
        <f t="shared" ca="1" si="1"/>
        <v>0.53571696584215034</v>
      </c>
    </row>
    <row r="29" spans="1:16">
      <c r="E29" s="164" t="s">
        <v>116</v>
      </c>
      <c r="F29" s="163">
        <f ca="1">F27/COUNT(P4:P52)</f>
        <v>10.026139317353589</v>
      </c>
      <c r="G29" s="162"/>
      <c r="H29" s="75"/>
      <c r="J29" s="72">
        <v>27</v>
      </c>
      <c r="K29" s="20">
        <f>'1. Autocorr'!B29</f>
        <v>-0.57691263291639938</v>
      </c>
      <c r="L29" s="20">
        <f t="shared" si="0"/>
        <v>-2.3564553496473168</v>
      </c>
      <c r="M29" s="20">
        <f ca="1">IF($F$6 &lt;= 1,SUMPRODUCT(OFFSET($F$10,-1,0):OFFSET($F$10,-$F$6,0),OFFSET(K29,-$F$6,0):OFFSET(K29,-1,0)),0)</f>
        <v>0.5084325650837761</v>
      </c>
      <c r="N29" s="73">
        <f ca="1">IF($G$6 &lt;= 3,SUMPRODUCT(OFFSET($G$10,-1,0):OFFSET($G$10,-$G$6,0),OFFSET(P29,-$G$6,0):OFFSET(P29,-1,0)),0)</f>
        <v>-0.19733882325612415</v>
      </c>
      <c r="O29" s="20">
        <f t="shared" ca="1" si="2"/>
        <v>0.31109374182765193</v>
      </c>
      <c r="P29" s="74">
        <f t="shared" ca="1" si="1"/>
        <v>-0.88800637474405131</v>
      </c>
    </row>
    <row r="30" spans="1:16">
      <c r="E30" s="161" t="s">
        <v>115</v>
      </c>
      <c r="F30" s="160">
        <f ca="1">SUMXMY2(P5:P52,P4:P51)/SUMSQ(P5:P52)</f>
        <v>0.99252938430316673</v>
      </c>
      <c r="G30" s="159" t="str">
        <f ca="1">IF(F30&lt;F32,"Positive correlation",IF(F30&gt;(4-F33),"Negative correlation","OK"))</f>
        <v>Positive correlation</v>
      </c>
      <c r="H30" s="75"/>
      <c r="J30" s="72">
        <v>28</v>
      </c>
      <c r="K30" s="20">
        <f>'1. Autocorr'!B30</f>
        <v>-1.8307650531899835</v>
      </c>
      <c r="L30" s="20">
        <f t="shared" si="0"/>
        <v>-3.610307769920901</v>
      </c>
      <c r="M30" s="20">
        <f ca="1">IF($F$6 &lt;= 1,SUMPRODUCT(OFFSET($F$10,-1,0):OFFSET($F$10,-$F$6,0),OFFSET(K30,-$F$6,0):OFFSET(K30,-1,0)),0)</f>
        <v>-0.3631478041094241</v>
      </c>
      <c r="N30" s="73">
        <f ca="1">IF($G$6 &lt;= 3,SUMPRODUCT(OFFSET($G$10,-1,0):OFFSET($G$10,-$G$6,0),OFFSET(P30,-$G$6,0):OFFSET(P30,-1,0)),0)</f>
        <v>0.32710954516897273</v>
      </c>
      <c r="O30" s="20">
        <f t="shared" ca="1" si="2"/>
        <v>-3.6038258940451373E-2</v>
      </c>
      <c r="P30" s="74">
        <f t="shared" ca="1" si="1"/>
        <v>-1.7947267942495322</v>
      </c>
    </row>
    <row r="31" spans="1:16">
      <c r="J31" s="72">
        <v>29</v>
      </c>
      <c r="K31" s="20">
        <f>'1. Autocorr'!B31</f>
        <v>-3.0323060212853661</v>
      </c>
      <c r="L31" s="20">
        <f t="shared" si="0"/>
        <v>-4.811848738016284</v>
      </c>
      <c r="M31" s="20">
        <f ca="1">IF($F$6 &lt;= 1,SUMPRODUCT(OFFSET($F$10,-1,0):OFFSET($F$10,-$F$6,0),OFFSET(K31,-$F$6,0):OFFSET(K31,-1,0)),0)</f>
        <v>-1.1524072640693197</v>
      </c>
      <c r="N31" s="73">
        <f ca="1">IF($G$6 &lt;= 3,SUMPRODUCT(OFFSET($G$10,-1,0):OFFSET($G$10,-$G$6,0),OFFSET(P31,-$G$6,0):OFFSET(P31,-1,0)),0)</f>
        <v>0.66111266998364049</v>
      </c>
      <c r="O31" s="20">
        <f t="shared" ca="1" si="2"/>
        <v>-0.49129459408567921</v>
      </c>
      <c r="P31" s="74">
        <f t="shared" ca="1" si="1"/>
        <v>-2.5410114271996869</v>
      </c>
    </row>
    <row r="32" spans="1:16" ht="18">
      <c r="F32">
        <v>1.462</v>
      </c>
      <c r="G32" t="s">
        <v>241</v>
      </c>
      <c r="J32" s="72">
        <v>30</v>
      </c>
      <c r="K32" s="20">
        <f>'1. Autocorr'!B32</f>
        <v>-6.2129224085178993</v>
      </c>
      <c r="L32" s="20">
        <f t="shared" si="0"/>
        <v>-7.9924651252488168</v>
      </c>
      <c r="M32" s="20">
        <f ca="1">IF($F$6 &lt;= 1,SUMPRODUCT(OFFSET($F$10,-1,0):OFFSET($F$10,-$F$6,0),OFFSET(K32,-$F$6,0):OFFSET(K32,-1,0)),0)</f>
        <v>-1.9087383603491608</v>
      </c>
      <c r="N32" s="73">
        <f ca="1">IF($G$6 &lt;= 3,SUMPRODUCT(OFFSET($G$10,-1,0):OFFSET($G$10,-$G$6,0),OFFSET(P32,-$G$6,0):OFFSET(P32,-1,0)),0)</f>
        <v>0.93601703305342165</v>
      </c>
      <c r="O32" s="20">
        <f t="shared" ca="1" si="2"/>
        <v>-0.97272132729573912</v>
      </c>
      <c r="P32" s="74">
        <f t="shared" ca="1" si="1"/>
        <v>-5.2402010812221604</v>
      </c>
    </row>
    <row r="33" spans="6:16" ht="18">
      <c r="F33">
        <v>1.6279999999999999</v>
      </c>
      <c r="G33" t="s">
        <v>242</v>
      </c>
      <c r="J33" s="72">
        <v>31</v>
      </c>
      <c r="K33" s="20">
        <f>'1. Autocorr'!B33</f>
        <v>-1.1851689634086644</v>
      </c>
      <c r="L33" s="20">
        <f t="shared" si="0"/>
        <v>-2.9647116801395823</v>
      </c>
      <c r="M33" s="20">
        <f ca="1">IF($F$6 &lt;= 1,SUMPRODUCT(OFFSET($F$10,-1,0):OFFSET($F$10,-$F$6,0),OFFSET(K33,-$F$6,0):OFFSET(K33,-1,0)),0)</f>
        <v>-3.9108332891757942</v>
      </c>
      <c r="N33" s="73">
        <f ca="1">IF($G$6 &lt;= 3,SUMPRODUCT(OFFSET($G$10,-1,0):OFFSET($G$10,-$G$6,0),OFFSET(P33,-$G$6,0):OFFSET(P33,-1,0)),0)</f>
        <v>1.9303012242075379</v>
      </c>
      <c r="O33" s="20">
        <f t="shared" ca="1" si="2"/>
        <v>-1.9805320649682563</v>
      </c>
      <c r="P33" s="74">
        <f t="shared" ca="1" si="1"/>
        <v>0.79536310155959189</v>
      </c>
    </row>
    <row r="34" spans="6:16">
      <c r="J34" s="72">
        <v>32</v>
      </c>
      <c r="K34" s="20">
        <f>'1. Autocorr'!B34</f>
        <v>-2.8740675853640711</v>
      </c>
      <c r="L34" s="20">
        <f t="shared" si="0"/>
        <v>-4.6536103020949886</v>
      </c>
      <c r="M34" s="20">
        <f ca="1">IF($F$6 &lt;= 1,SUMPRODUCT(OFFSET($F$10,-1,0):OFFSET($F$10,-$F$6,0),OFFSET(K34,-$F$6,0):OFFSET(K34,-1,0)),0)</f>
        <v>-0.74602544996248521</v>
      </c>
      <c r="N34" s="73">
        <f ca="1">IF($G$6 &lt;= 3,SUMPRODUCT(OFFSET($G$10,-1,0):OFFSET($G$10,-$G$6,0),OFFSET(P34,-$G$6,0):OFFSET(P34,-1,0)),0)</f>
        <v>-0.29298310214307888</v>
      </c>
      <c r="O34" s="20">
        <f t="shared" ca="1" si="2"/>
        <v>-1.0390085521055641</v>
      </c>
      <c r="P34" s="74">
        <f t="shared" ca="1" si="1"/>
        <v>-1.8350590332585071</v>
      </c>
    </row>
    <row r="35" spans="6:16">
      <c r="J35" s="72">
        <v>33</v>
      </c>
      <c r="K35" s="20">
        <f>'1. Autocorr'!B35</f>
        <v>-6.2496270341458739</v>
      </c>
      <c r="L35" s="20">
        <f t="shared" ref="L35:L52" si="3">K35-AVERAGE($K$3:$K$52)</f>
        <v>-8.0291697508767914</v>
      </c>
      <c r="M35" s="20">
        <f ca="1">IF($F$6 &lt;= 1,SUMPRODUCT(OFFSET($F$10,-1,0):OFFSET($F$10,-$F$6,0),OFFSET(K35,-$F$6,0):OFFSET(K35,-1,0)),0)</f>
        <v>-1.8091323936015835</v>
      </c>
      <c r="N35" s="73">
        <f ca="1">IF($G$6 &lt;= 3,SUMPRODUCT(OFFSET($G$10,-1,0):OFFSET($G$10,-$G$6,0),OFFSET(P35,-$G$6,0):OFFSET(P35,-1,0)),0)</f>
        <v>0.67596961328168237</v>
      </c>
      <c r="O35" s="20">
        <f t="shared" ca="1" si="2"/>
        <v>-1.1331627803199011</v>
      </c>
      <c r="P35" s="74">
        <f t="shared" ca="1" si="1"/>
        <v>-5.1164642538259724</v>
      </c>
    </row>
    <row r="36" spans="6:16">
      <c r="J36" s="72">
        <v>34</v>
      </c>
      <c r="K36" s="20">
        <f>'1. Autocorr'!B36</f>
        <v>-1.2998508136584519</v>
      </c>
      <c r="L36" s="20">
        <f t="shared" si="3"/>
        <v>-3.0793935303893694</v>
      </c>
      <c r="M36" s="20">
        <f ca="1">IF($F$6 &lt;= 1,SUMPRODUCT(OFFSET($F$10,-1,0):OFFSET($F$10,-$F$6,0),OFFSET(K36,-$F$6,0):OFFSET(K36,-1,0)),0)</f>
        <v>-3.9339376613752308</v>
      </c>
      <c r="N36" s="73">
        <f ca="1">IF($G$6 &lt;= 3,SUMPRODUCT(OFFSET($G$10,-1,0):OFFSET($G$10,-$G$6,0),OFFSET(P36,-$G$6,0):OFFSET(P36,-1,0)),0)</f>
        <v>1.8847210364055249</v>
      </c>
      <c r="O36" s="20">
        <f t="shared" ca="1" si="2"/>
        <v>-2.0492166249697057</v>
      </c>
      <c r="P36" s="74">
        <f t="shared" ca="1" si="1"/>
        <v>0.74936581131125379</v>
      </c>
    </row>
    <row r="37" spans="6:16">
      <c r="J37" s="72">
        <v>35</v>
      </c>
      <c r="K37" s="20">
        <f>'1. Autocorr'!B37</f>
        <v>-1.0199403254634252</v>
      </c>
      <c r="L37" s="20">
        <f t="shared" si="3"/>
        <v>-2.7994830421943426</v>
      </c>
      <c r="M37" s="20">
        <f ca="1">IF($F$6 &lt;= 1,SUMPRODUCT(OFFSET($F$10,-1,0):OFFSET($F$10,-$F$6,0),OFFSET(K37,-$F$6,0):OFFSET(K37,-1,0)),0)</f>
        <v>-0.81821395774205252</v>
      </c>
      <c r="N37" s="73">
        <f ca="1">IF($G$6 &lt;= 3,SUMPRODUCT(OFFSET($G$10,-1,0):OFFSET($G$10,-$G$6,0),OFFSET(P37,-$G$6,0):OFFSET(P37,-1,0)),0)</f>
        <v>-0.27603935813394853</v>
      </c>
      <c r="O37" s="20">
        <f t="shared" ca="1" si="2"/>
        <v>-1.0942533158760011</v>
      </c>
      <c r="P37" s="74">
        <f t="shared" ca="1" si="1"/>
        <v>7.4312990412575886E-2</v>
      </c>
    </row>
    <row r="38" spans="6:16">
      <c r="J38" s="72">
        <v>36</v>
      </c>
      <c r="K38" s="20">
        <f>'1. Autocorr'!B38</f>
        <v>-2.6079761301853921</v>
      </c>
      <c r="L38" s="20">
        <f t="shared" si="3"/>
        <v>-4.3875188469163096</v>
      </c>
      <c r="M38" s="20">
        <f ca="1">IF($F$6 &lt;= 1,SUMPRODUCT(OFFSET($F$10,-1,0):OFFSET($F$10,-$F$6,0),OFFSET(K38,-$F$6,0):OFFSET(K38,-1,0)),0)</f>
        <v>-0.64201937760022565</v>
      </c>
      <c r="N38" s="73">
        <f ca="1">IF($G$6 &lt;= 3,SUMPRODUCT(OFFSET($G$10,-1,0):OFFSET($G$10,-$G$6,0),OFFSET(P38,-$G$6,0):OFFSET(P38,-1,0)),0)</f>
        <v>-2.7374227466565572E-2</v>
      </c>
      <c r="O38" s="20">
        <f t="shared" ca="1" si="2"/>
        <v>-0.66939360506679124</v>
      </c>
      <c r="P38" s="74">
        <f t="shared" ca="1" si="1"/>
        <v>-1.9385825251186009</v>
      </c>
    </row>
    <row r="39" spans="6:16">
      <c r="J39" s="72">
        <v>37</v>
      </c>
      <c r="K39" s="20">
        <f>'1. Autocorr'!B39</f>
        <v>2.0568095479258304</v>
      </c>
      <c r="L39" s="20">
        <f t="shared" si="3"/>
        <v>0.27726683119491269</v>
      </c>
      <c r="M39" s="20">
        <f ca="1">IF($F$6 &lt;= 1,SUMPRODUCT(OFFSET($F$10,-1,0):OFFSET($F$10,-$F$6,0),OFFSET(K39,-$F$6,0):OFFSET(K39,-1,0)),0)</f>
        <v>-1.6416364468549618</v>
      </c>
      <c r="N39" s="73">
        <f ca="1">IF($G$6 &lt;= 3,SUMPRODUCT(OFFSET($G$10,-1,0):OFFSET($G$10,-$G$6,0),OFFSET(P39,-$G$6,0):OFFSET(P39,-1,0)),0)</f>
        <v>0.71410393675027184</v>
      </c>
      <c r="O39" s="20">
        <f t="shared" ca="1" si="2"/>
        <v>-0.92753251010468996</v>
      </c>
      <c r="P39" s="74">
        <f t="shared" ca="1" si="1"/>
        <v>2.9843420580305202</v>
      </c>
    </row>
    <row r="40" spans="6:16">
      <c r="J40" s="72">
        <v>38</v>
      </c>
      <c r="K40" s="20">
        <f>'1. Autocorr'!B40</f>
        <v>2.2227238191703229</v>
      </c>
      <c r="L40" s="20">
        <f t="shared" si="3"/>
        <v>0.44318110243940523</v>
      </c>
      <c r="M40" s="20">
        <f ca="1">IF($F$6 &lt;= 1,SUMPRODUCT(OFFSET($F$10,-1,0):OFFSET($F$10,-$F$6,0),OFFSET(K40,-$F$6,0):OFFSET(K40,-1,0)),0)</f>
        <v>1.2946949471789431</v>
      </c>
      <c r="N40" s="73">
        <f ca="1">IF($G$6 &lt;= 3,SUMPRODUCT(OFFSET($G$10,-1,0):OFFSET($G$10,-$G$6,0),OFFSET(P40,-$G$6,0):OFFSET(P40,-1,0)),0)</f>
        <v>-1.0993240600467198</v>
      </c>
      <c r="O40" s="20">
        <f t="shared" ca="1" si="2"/>
        <v>0.19537088713222328</v>
      </c>
      <c r="P40" s="74">
        <f t="shared" ca="1" si="1"/>
        <v>2.0273529320380996</v>
      </c>
    </row>
    <row r="41" spans="6:16">
      <c r="J41" s="72">
        <v>39</v>
      </c>
      <c r="K41" s="20">
        <f>'1. Autocorr'!B41</f>
        <v>0.58908952766812117</v>
      </c>
      <c r="L41" s="20">
        <f t="shared" si="3"/>
        <v>-1.1904531890627965</v>
      </c>
      <c r="M41" s="20">
        <f ca="1">IF($F$6 &lt;= 1,SUMPRODUCT(OFFSET($F$10,-1,0):OFFSET($F$10,-$F$6,0),OFFSET(K41,-$F$6,0):OFFSET(K41,-1,0)),0)</f>
        <v>1.3991326034810263</v>
      </c>
      <c r="N41" s="73">
        <f ca="1">IF($G$6 &lt;= 3,SUMPRODUCT(OFFSET($G$10,-1,0):OFFSET($G$10,-$G$6,0),OFFSET(P41,-$G$6,0):OFFSET(P41,-1,0)),0)</f>
        <v>-0.74680375542023503</v>
      </c>
      <c r="O41" s="20">
        <f t="shared" ca="1" si="2"/>
        <v>0.65232884806079128</v>
      </c>
      <c r="P41" s="74">
        <f t="shared" ca="1" si="1"/>
        <v>-6.3239320392670106E-2</v>
      </c>
    </row>
    <row r="42" spans="6:16">
      <c r="J42" s="72">
        <v>40</v>
      </c>
      <c r="K42" s="20">
        <f>'1. Autocorr'!B42</f>
        <v>5.2356358110672412</v>
      </c>
      <c r="L42" s="20">
        <f t="shared" si="3"/>
        <v>3.4560930943363237</v>
      </c>
      <c r="M42" s="20">
        <f ca="1">IF($F$6 &lt;= 1,SUMPRODUCT(OFFSET($F$10,-1,0):OFFSET($F$10,-$F$6,0),OFFSET(K42,-$F$6,0):OFFSET(K42,-1,0)),0)</f>
        <v>0.37081276469037944</v>
      </c>
      <c r="N42" s="73">
        <f ca="1">IF($G$6 &lt;= 3,SUMPRODUCT(OFFSET($G$10,-1,0):OFFSET($G$10,-$G$6,0),OFFSET(P42,-$G$6,0):OFFSET(P42,-1,0)),0)</f>
        <v>2.3295086520525945E-2</v>
      </c>
      <c r="O42" s="20">
        <f t="shared" ca="1" si="2"/>
        <v>0.39410785121090536</v>
      </c>
      <c r="P42" s="74">
        <f t="shared" ca="1" si="1"/>
        <v>4.8415279598563359</v>
      </c>
    </row>
    <row r="43" spans="6:16">
      <c r="J43" s="72">
        <v>41</v>
      </c>
      <c r="K43" s="20">
        <f>'1. Autocorr'!B43</f>
        <v>1.3942543244268895</v>
      </c>
      <c r="L43" s="20">
        <f t="shared" si="3"/>
        <v>-0.38528839230402823</v>
      </c>
      <c r="M43" s="20">
        <f ca="1">IF($F$6 &lt;= 1,SUMPRODUCT(OFFSET($F$10,-1,0):OFFSET($F$10,-$F$6,0),OFFSET(K43,-$F$6,0):OFFSET(K43,-1,0)),0)</f>
        <v>3.2956630509099147</v>
      </c>
      <c r="N43" s="73">
        <f ca="1">IF($G$6 &lt;= 3,SUMPRODUCT(OFFSET($G$10,-1,0):OFFSET($G$10,-$G$6,0),OFFSET(P43,-$G$6,0):OFFSET(P43,-1,0)),0)</f>
        <v>-1.7834444142677925</v>
      </c>
      <c r="O43" s="20">
        <f t="shared" ca="1" si="2"/>
        <v>1.5122186366421222</v>
      </c>
      <c r="P43" s="74">
        <f t="shared" ca="1" si="1"/>
        <v>-0.11796431221523274</v>
      </c>
    </row>
    <row r="44" spans="6:16">
      <c r="J44" s="72">
        <v>42</v>
      </c>
      <c r="K44" s="20">
        <f>'1. Autocorr'!B44</f>
        <v>2.1577017297707481</v>
      </c>
      <c r="L44" s="20">
        <f t="shared" si="3"/>
        <v>0.37815901303983046</v>
      </c>
      <c r="M44" s="20">
        <f ca="1">IF($F$6 &lt;= 1,SUMPRODUCT(OFFSET($F$10,-1,0):OFFSET($F$10,-$F$6,0),OFFSET(K44,-$F$6,0):OFFSET(K44,-1,0)),0)</f>
        <v>0.87763790805923403</v>
      </c>
      <c r="N44" s="73">
        <f ca="1">IF($G$6 &lt;= 3,SUMPRODUCT(OFFSET($G$10,-1,0):OFFSET($G$10,-$G$6,0),OFFSET(P44,-$G$6,0):OFFSET(P44,-1,0)),0)</f>
        <v>4.3453801247786555E-2</v>
      </c>
      <c r="O44" s="20">
        <f t="shared" ca="1" si="2"/>
        <v>0.92109170930702056</v>
      </c>
      <c r="P44" s="74">
        <f t="shared" ca="1" si="1"/>
        <v>1.2366100204637276</v>
      </c>
    </row>
    <row r="45" spans="6:16">
      <c r="J45" s="72">
        <v>43</v>
      </c>
      <c r="K45" s="20">
        <f>'1. Autocorr'!B45</f>
        <v>6.763080691908292</v>
      </c>
      <c r="L45" s="20">
        <f t="shared" si="3"/>
        <v>4.9835379751773745</v>
      </c>
      <c r="M45" s="20">
        <f ca="1">IF($F$6 &lt;= 1,SUMPRODUCT(OFFSET($F$10,-1,0):OFFSET($F$10,-$F$6,0),OFFSET(K45,-$F$6,0):OFFSET(K45,-1,0)),0)</f>
        <v>1.3582033056344944</v>
      </c>
      <c r="N45" s="73">
        <f ca="1">IF($G$6 &lt;= 3,SUMPRODUCT(OFFSET($G$10,-1,0):OFFSET($G$10,-$G$6,0),OFFSET(P45,-$G$6,0):OFFSET(P45,-1,0)),0)</f>
        <v>-0.45552256475847303</v>
      </c>
      <c r="O45" s="20">
        <f t="shared" ca="1" si="2"/>
        <v>0.90268074087602135</v>
      </c>
      <c r="P45" s="74">
        <f t="shared" ca="1" si="1"/>
        <v>5.8603999510322708</v>
      </c>
    </row>
    <row r="46" spans="6:16">
      <c r="J46" s="72">
        <v>44</v>
      </c>
      <c r="K46" s="20">
        <f>'1. Autocorr'!B46</f>
        <v>4.905232276763309</v>
      </c>
      <c r="L46" s="20">
        <f t="shared" si="3"/>
        <v>3.1256895600323915</v>
      </c>
      <c r="M46" s="20">
        <f ca="1">IF($F$6 &lt;= 1,SUMPRODUCT(OFFSET($F$10,-1,0):OFFSET($F$10,-$F$6,0),OFFSET(K46,-$F$6,0):OFFSET(K46,-1,0)),0)</f>
        <v>4.2571400973936386</v>
      </c>
      <c r="N46" s="73">
        <f ca="1">IF($G$6 &lt;= 3,SUMPRODUCT(OFFSET($G$10,-1,0):OFFSET($G$10,-$G$6,0),OFFSET(P46,-$G$6,0):OFFSET(P46,-1,0)),0)</f>
        <v>-2.1587601362016886</v>
      </c>
      <c r="O46" s="20">
        <f t="shared" ca="1" si="2"/>
        <v>2.09837996119195</v>
      </c>
      <c r="P46" s="74">
        <f t="shared" ca="1" si="1"/>
        <v>2.8068523155713589</v>
      </c>
    </row>
    <row r="47" spans="6:16">
      <c r="J47" s="72">
        <v>45</v>
      </c>
      <c r="K47" s="20">
        <f>'1. Autocorr'!B47</f>
        <v>1.4620929107053158</v>
      </c>
      <c r="L47" s="20">
        <f t="shared" si="3"/>
        <v>-0.31744980602560191</v>
      </c>
      <c r="M47" s="20">
        <f ca="1">IF($F$6 &lt;= 1,SUMPRODUCT(OFFSET($F$10,-1,0):OFFSET($F$10,-$F$6,0),OFFSET(K47,-$F$6,0):OFFSET(K47,-1,0)),0)</f>
        <v>3.0876847347723082</v>
      </c>
      <c r="N47" s="73">
        <f ca="1">IF($G$6 &lt;= 3,SUMPRODUCT(OFFSET($G$10,-1,0):OFFSET($G$10,-$G$6,0),OFFSET(P47,-$G$6,0):OFFSET(P47,-1,0)),0)</f>
        <v>-1.0339432355625393</v>
      </c>
      <c r="O47" s="20">
        <f t="shared" ca="1" si="2"/>
        <v>2.0537414992097691</v>
      </c>
      <c r="P47" s="74">
        <f t="shared" ca="1" si="1"/>
        <v>-0.59164858850445334</v>
      </c>
    </row>
    <row r="48" spans="6:16">
      <c r="J48" s="72">
        <v>46</v>
      </c>
      <c r="K48" s="20">
        <f>'1. Autocorr'!B48</f>
        <v>-1.6151628357178818</v>
      </c>
      <c r="L48" s="20">
        <f t="shared" si="3"/>
        <v>-3.3947055524487997</v>
      </c>
      <c r="M48" s="20">
        <f ca="1">IF($F$6 &lt;= 1,SUMPRODUCT(OFFSET($F$10,-1,0):OFFSET($F$10,-$F$6,0),OFFSET(K48,-$F$6,0):OFFSET(K48,-1,0)),0)</f>
        <v>0.92034009940554162</v>
      </c>
      <c r="N48" s="73">
        <f ca="1">IF($G$6 &lt;= 3,SUMPRODUCT(OFFSET($G$10,-1,0):OFFSET($G$10,-$G$6,0),OFFSET(P48,-$G$6,0):OFFSET(P48,-1,0)),0)</f>
        <v>0.21794201729839879</v>
      </c>
      <c r="O48" s="20">
        <f t="shared" ca="1" si="2"/>
        <v>1.1382821167039405</v>
      </c>
      <c r="P48" s="74">
        <f t="shared" ca="1" si="1"/>
        <v>-2.7534449524218223</v>
      </c>
    </row>
    <row r="49" spans="10:16">
      <c r="J49" s="72">
        <v>47</v>
      </c>
      <c r="K49" s="20">
        <f>'1. Autocorr'!B49</f>
        <v>-4.5460651342871614</v>
      </c>
      <c r="L49" s="20">
        <f t="shared" si="3"/>
        <v>-6.3256078510180789</v>
      </c>
      <c r="M49" s="20">
        <f ca="1">IF($F$6 &lt;= 1,SUMPRODUCT(OFFSET($F$10,-1,0):OFFSET($F$10,-$F$6,0),OFFSET(K49,-$F$6,0):OFFSET(K49,-1,0)),0)</f>
        <v>-1.0166926560526461</v>
      </c>
      <c r="N49" s="73">
        <f ca="1">IF($G$6 &lt;= 3,SUMPRODUCT(OFFSET($G$10,-1,0):OFFSET($G$10,-$G$6,0),OFFSET(P49,-$G$6,0):OFFSET(P49,-1,0)),0)</f>
        <v>1.0142698877517711</v>
      </c>
      <c r="O49" s="20">
        <f t="shared" ca="1" si="2"/>
        <v>-2.4227683008750667E-3</v>
      </c>
      <c r="P49" s="74">
        <f t="shared" ca="1" si="1"/>
        <v>-4.5436423659862868</v>
      </c>
    </row>
    <row r="50" spans="10:16">
      <c r="J50" s="72">
        <v>48</v>
      </c>
      <c r="K50" s="20">
        <f>'1. Autocorr'!B50</f>
        <v>-1.4184260537148732</v>
      </c>
      <c r="L50" s="20">
        <f t="shared" si="3"/>
        <v>-3.1979687704457911</v>
      </c>
      <c r="M50" s="20">
        <f ca="1">IF($F$6 &lt;= 1,SUMPRODUCT(OFFSET($F$10,-1,0):OFFSET($F$10,-$F$6,0),OFFSET(K50,-$F$6,0):OFFSET(K50,-1,0)),0)</f>
        <v>-2.8616006595474026</v>
      </c>
      <c r="N50" s="73">
        <f ca="1">IF($G$6 &lt;= 3,SUMPRODUCT(OFFSET($G$10,-1,0):OFFSET($G$10,-$G$6,0),OFFSET(P50,-$G$6,0):OFFSET(P50,-1,0)),0)</f>
        <v>1.6737140971275508</v>
      </c>
      <c r="O50" s="20">
        <f t="shared" ca="1" si="2"/>
        <v>-1.1878865624198518</v>
      </c>
      <c r="P50" s="74">
        <f t="shared" ca="1" si="1"/>
        <v>-0.23053949129502138</v>
      </c>
    </row>
    <row r="51" spans="10:16">
      <c r="J51" s="72">
        <v>49</v>
      </c>
      <c r="K51" s="20">
        <f>'1. Autocorr'!B51</f>
        <v>1.1326295785140421</v>
      </c>
      <c r="L51" s="20">
        <f t="shared" si="3"/>
        <v>-0.64691313821687557</v>
      </c>
      <c r="M51" s="20">
        <f ca="1">IF($F$6 &lt;= 1,SUMPRODUCT(OFFSET($F$10,-1,0):OFFSET($F$10,-$F$6,0),OFFSET(K51,-$F$6,0):OFFSET(K51,-1,0)),0)</f>
        <v>-0.892853228216265</v>
      </c>
      <c r="N51" s="73">
        <f ca="1">IF($G$6 &lt;= 3,SUMPRODUCT(OFFSET($G$10,-1,0):OFFSET($G$10,-$G$6,0),OFFSET(P51,-$G$6,0):OFFSET(P51,-1,0)),0)</f>
        <v>8.4922440070023794E-2</v>
      </c>
      <c r="O51" s="20">
        <f t="shared" ca="1" si="2"/>
        <v>-0.8079307881462412</v>
      </c>
      <c r="P51" s="74">
        <f t="shared" ca="1" si="1"/>
        <v>1.9405603666602833</v>
      </c>
    </row>
    <row r="52" spans="10:16">
      <c r="J52" s="72">
        <v>50</v>
      </c>
      <c r="K52" s="20">
        <f>'1. Autocorr'!B52</f>
        <v>2.0099999999999998</v>
      </c>
      <c r="L52" s="20">
        <f t="shared" si="3"/>
        <v>0.2304572832690821</v>
      </c>
      <c r="M52" s="20">
        <f ca="1">IF($F$6 &lt;= 1,SUMPRODUCT(OFFSET($F$10,-1,0):OFFSET($F$10,-$F$6,0),OFFSET(K52,-$F$6,0):OFFSET(K52,-1,0)),0)</f>
        <v>0.71295361002496949</v>
      </c>
      <c r="N52" s="73">
        <f ca="1">IF($G$6 &lt;= 3,SUMPRODUCT(OFFSET($G$10,-1,0):OFFSET($G$10,-$G$6,0),OFFSET(P52,-$G$6,0):OFFSET(P52,-1,0)),0)</f>
        <v>-0.71483250229384965</v>
      </c>
      <c r="O52" s="20">
        <f t="shared" ca="1" si="2"/>
        <v>-1.8788922688801613E-3</v>
      </c>
      <c r="P52" s="74">
        <f t="shared" ca="1" si="1"/>
        <v>2.0118788922688799</v>
      </c>
    </row>
    <row r="53" spans="10:16">
      <c r="J53" s="72"/>
      <c r="K53" s="20"/>
      <c r="L53" s="20"/>
      <c r="M53" s="20"/>
      <c r="N53" s="73"/>
      <c r="O53" s="20"/>
      <c r="P53" s="74"/>
    </row>
    <row r="54" spans="10:16">
      <c r="J54" s="72"/>
      <c r="K54" s="20"/>
      <c r="L54" s="20"/>
      <c r="M54" s="20"/>
      <c r="N54" s="73"/>
      <c r="O54" s="20"/>
      <c r="P54" s="74"/>
    </row>
    <row r="55" spans="10:16">
      <c r="J55" s="72"/>
      <c r="K55" s="20"/>
      <c r="L55" s="20"/>
      <c r="M55" s="20"/>
      <c r="N55" s="73"/>
      <c r="O55" s="20"/>
      <c r="P55" s="74"/>
    </row>
    <row r="56" spans="10:16">
      <c r="J56" s="72"/>
      <c r="K56" s="20"/>
      <c r="L56" s="20"/>
      <c r="M56" s="20"/>
      <c r="N56" s="73"/>
      <c r="O56" s="20"/>
      <c r="P56" s="74"/>
    </row>
    <row r="57" spans="10:16">
      <c r="J57" s="72"/>
      <c r="K57" s="20"/>
      <c r="L57" s="20"/>
      <c r="M57" s="20"/>
      <c r="N57" s="73"/>
      <c r="O57" s="20"/>
      <c r="P57" s="74"/>
    </row>
    <row r="58" spans="10:16">
      <c r="J58" s="72"/>
      <c r="K58" s="20"/>
      <c r="L58" s="20"/>
      <c r="M58" s="20"/>
      <c r="N58" s="73"/>
      <c r="O58" s="20"/>
      <c r="P58" s="74"/>
    </row>
    <row r="59" spans="10:16">
      <c r="J59" s="72"/>
      <c r="K59" s="20"/>
      <c r="L59" s="20"/>
      <c r="M59" s="20"/>
      <c r="N59" s="73"/>
      <c r="O59" s="20"/>
      <c r="P59" s="74"/>
    </row>
    <row r="60" spans="10:16">
      <c r="J60" s="72"/>
      <c r="K60" s="20"/>
      <c r="L60" s="20"/>
      <c r="M60" s="20"/>
      <c r="N60" s="73"/>
      <c r="O60" s="20"/>
      <c r="P60" s="74"/>
    </row>
    <row r="61" spans="10:16">
      <c r="J61" s="72"/>
      <c r="K61" s="20"/>
      <c r="L61" s="20"/>
      <c r="M61" s="20"/>
      <c r="N61" s="73"/>
      <c r="O61" s="20"/>
      <c r="P61" s="74"/>
    </row>
    <row r="62" spans="10:16">
      <c r="J62" s="72"/>
      <c r="K62" s="20"/>
      <c r="L62" s="20"/>
      <c r="M62" s="20"/>
      <c r="N62" s="73"/>
      <c r="O62" s="20"/>
      <c r="P62" s="74"/>
    </row>
    <row r="63" spans="10:16">
      <c r="J63" s="72"/>
      <c r="K63" s="20"/>
      <c r="L63" s="20"/>
      <c r="M63" s="20"/>
      <c r="N63" s="73"/>
      <c r="O63" s="20"/>
      <c r="P63" s="74"/>
    </row>
    <row r="64" spans="10:16">
      <c r="J64" s="72"/>
      <c r="K64" s="20"/>
      <c r="L64" s="20"/>
      <c r="M64" s="20"/>
      <c r="N64" s="73"/>
      <c r="O64" s="20"/>
      <c r="P64" s="74"/>
    </row>
    <row r="65" spans="10:16">
      <c r="J65" s="72"/>
      <c r="K65" s="20"/>
      <c r="L65" s="20"/>
      <c r="M65" s="20"/>
      <c r="N65" s="73"/>
      <c r="O65" s="20"/>
      <c r="P65" s="74"/>
    </row>
    <row r="66" spans="10:16">
      <c r="J66" s="72"/>
      <c r="K66" s="20"/>
      <c r="L66" s="20"/>
      <c r="M66" s="20"/>
      <c r="N66" s="73"/>
      <c r="O66" s="20"/>
      <c r="P66" s="74"/>
    </row>
    <row r="67" spans="10:16">
      <c r="J67" s="72"/>
      <c r="K67" s="20"/>
      <c r="L67" s="20"/>
      <c r="M67" s="20"/>
      <c r="N67" s="73"/>
      <c r="O67" s="20"/>
      <c r="P67" s="74"/>
    </row>
    <row r="68" spans="10:16">
      <c r="J68" s="72"/>
      <c r="K68" s="20"/>
      <c r="L68" s="20"/>
      <c r="M68" s="20"/>
      <c r="N68" s="73"/>
      <c r="O68" s="20"/>
      <c r="P68" s="74"/>
    </row>
    <row r="69" spans="10:16">
      <c r="J69" s="72"/>
      <c r="K69" s="20"/>
      <c r="L69" s="20"/>
      <c r="M69" s="20"/>
      <c r="N69" s="73"/>
      <c r="O69" s="20"/>
      <c r="P69" s="74"/>
    </row>
    <row r="70" spans="10:16">
      <c r="J70" s="72"/>
      <c r="K70" s="20"/>
      <c r="L70" s="20"/>
      <c r="M70" s="20"/>
      <c r="N70" s="73"/>
      <c r="O70" s="20"/>
      <c r="P70" s="74"/>
    </row>
    <row r="71" spans="10:16">
      <c r="J71" s="72"/>
      <c r="K71" s="20"/>
      <c r="L71" s="20"/>
      <c r="M71" s="20"/>
      <c r="N71" s="73"/>
      <c r="O71" s="20"/>
      <c r="P71" s="74"/>
    </row>
    <row r="72" spans="10:16">
      <c r="J72" s="72"/>
      <c r="K72" s="20"/>
      <c r="L72" s="20"/>
      <c r="M72" s="20"/>
      <c r="N72" s="73"/>
      <c r="O72" s="20"/>
      <c r="P72" s="74"/>
    </row>
    <row r="73" spans="10:16">
      <c r="J73" s="72"/>
      <c r="K73" s="20"/>
      <c r="L73" s="20"/>
      <c r="M73" s="20"/>
      <c r="N73" s="73"/>
      <c r="O73" s="20"/>
      <c r="P73" s="74"/>
    </row>
    <row r="74" spans="10:16">
      <c r="J74" s="72"/>
      <c r="K74" s="20"/>
      <c r="L74" s="20"/>
      <c r="M74" s="20"/>
      <c r="N74" s="73"/>
      <c r="O74" s="20"/>
      <c r="P74" s="74"/>
    </row>
    <row r="75" spans="10:16">
      <c r="J75" s="72"/>
      <c r="K75" s="20"/>
      <c r="L75" s="20"/>
      <c r="M75" s="20"/>
      <c r="N75" s="73"/>
      <c r="O75" s="20"/>
      <c r="P75" s="74"/>
    </row>
    <row r="76" spans="10:16">
      <c r="J76" s="72"/>
      <c r="K76" s="20"/>
      <c r="L76" s="20"/>
      <c r="M76" s="20"/>
      <c r="N76" s="73"/>
      <c r="O76" s="20"/>
      <c r="P76" s="74"/>
    </row>
    <row r="77" spans="10:16">
      <c r="J77" s="72"/>
      <c r="K77" s="20"/>
      <c r="L77" s="20"/>
      <c r="M77" s="20"/>
      <c r="N77" s="73"/>
      <c r="O77" s="20"/>
      <c r="P77" s="74"/>
    </row>
    <row r="78" spans="10:16">
      <c r="J78" s="72"/>
      <c r="K78" s="20"/>
      <c r="L78" s="20"/>
      <c r="M78" s="20"/>
      <c r="N78" s="73"/>
      <c r="O78" s="20"/>
      <c r="P78" s="74"/>
    </row>
    <row r="79" spans="10:16">
      <c r="J79" s="72"/>
      <c r="K79" s="20"/>
      <c r="L79" s="20"/>
      <c r="M79" s="20"/>
      <c r="N79" s="73"/>
      <c r="O79" s="20"/>
      <c r="P79" s="74"/>
    </row>
    <row r="80" spans="10:16">
      <c r="J80" s="72"/>
      <c r="K80" s="20"/>
      <c r="L80" s="20"/>
      <c r="M80" s="20"/>
      <c r="N80" s="73"/>
      <c r="O80" s="20"/>
      <c r="P80" s="74"/>
    </row>
    <row r="81" spans="10:16">
      <c r="J81" s="72"/>
      <c r="K81" s="20"/>
      <c r="L81" s="20"/>
      <c r="M81" s="20"/>
      <c r="N81" s="73"/>
      <c r="O81" s="20"/>
      <c r="P81" s="74"/>
    </row>
    <row r="82" spans="10:16">
      <c r="J82" s="72"/>
      <c r="K82" s="20"/>
      <c r="L82" s="20"/>
      <c r="M82" s="20"/>
      <c r="N82" s="73"/>
      <c r="O82" s="20"/>
      <c r="P82" s="74"/>
    </row>
    <row r="83" spans="10:16">
      <c r="J83" s="72"/>
      <c r="K83" s="20"/>
      <c r="L83" s="20"/>
      <c r="M83" s="20"/>
      <c r="N83" s="73"/>
      <c r="O83" s="20"/>
      <c r="P83" s="74"/>
    </row>
    <row r="84" spans="10:16">
      <c r="J84" s="72"/>
      <c r="K84" s="20"/>
      <c r="L84" s="20"/>
      <c r="M84" s="20"/>
      <c r="N84" s="73"/>
      <c r="O84" s="20"/>
      <c r="P84" s="74"/>
    </row>
    <row r="85" spans="10:16">
      <c r="J85" s="72"/>
      <c r="K85" s="20"/>
      <c r="L85" s="20"/>
      <c r="M85" s="20"/>
      <c r="N85" s="73"/>
      <c r="O85" s="20"/>
      <c r="P85" s="74"/>
    </row>
    <row r="86" spans="10:16">
      <c r="J86" s="72"/>
      <c r="K86" s="20"/>
      <c r="L86" s="20"/>
      <c r="M86" s="20"/>
      <c r="N86" s="73"/>
      <c r="O86" s="20"/>
      <c r="P86" s="74"/>
    </row>
    <row r="87" spans="10:16">
      <c r="J87" s="72"/>
      <c r="K87" s="20"/>
      <c r="L87" s="20"/>
      <c r="M87" s="20"/>
      <c r="N87" s="73"/>
      <c r="O87" s="20"/>
      <c r="P87" s="74"/>
    </row>
    <row r="88" spans="10:16">
      <c r="J88" s="72"/>
      <c r="K88" s="20"/>
      <c r="L88" s="20"/>
      <c r="M88" s="20"/>
      <c r="N88" s="73"/>
      <c r="O88" s="20"/>
      <c r="P88" s="74"/>
    </row>
    <row r="89" spans="10:16">
      <c r="J89" s="72"/>
      <c r="K89" s="20"/>
      <c r="L89" s="20"/>
      <c r="M89" s="20"/>
      <c r="N89" s="73"/>
      <c r="O89" s="20"/>
      <c r="P89" s="74"/>
    </row>
    <row r="90" spans="10:16">
      <c r="J90" s="72"/>
      <c r="K90" s="20"/>
      <c r="L90" s="20"/>
      <c r="M90" s="20"/>
      <c r="N90" s="73"/>
      <c r="O90" s="20"/>
      <c r="P90" s="74"/>
    </row>
    <row r="91" spans="10:16">
      <c r="J91" s="72"/>
      <c r="K91" s="20"/>
      <c r="L91" s="20"/>
      <c r="M91" s="20"/>
      <c r="N91" s="73"/>
      <c r="O91" s="20"/>
      <c r="P91" s="74"/>
    </row>
    <row r="92" spans="10:16">
      <c r="J92" s="72"/>
      <c r="K92" s="20"/>
      <c r="L92" s="20"/>
      <c r="M92" s="20"/>
      <c r="N92" s="73"/>
      <c r="O92" s="20"/>
      <c r="P92" s="74"/>
    </row>
    <row r="93" spans="10:16">
      <c r="J93" s="72"/>
      <c r="K93" s="20"/>
      <c r="L93" s="20"/>
      <c r="M93" s="20"/>
      <c r="N93" s="73"/>
      <c r="O93" s="20"/>
      <c r="P93" s="74"/>
    </row>
    <row r="94" spans="10:16">
      <c r="J94" s="72"/>
      <c r="K94" s="20"/>
      <c r="L94" s="20"/>
      <c r="M94" s="20"/>
      <c r="N94" s="73"/>
      <c r="O94" s="20"/>
      <c r="P94" s="74"/>
    </row>
    <row r="95" spans="10:16">
      <c r="J95" s="72"/>
      <c r="K95" s="20"/>
      <c r="L95" s="20"/>
      <c r="M95" s="20"/>
      <c r="N95" s="73"/>
      <c r="O95" s="20"/>
      <c r="P95" s="74"/>
    </row>
    <row r="96" spans="10:16">
      <c r="J96" s="72"/>
      <c r="K96" s="20"/>
      <c r="L96" s="20"/>
      <c r="M96" s="20"/>
      <c r="N96" s="73"/>
      <c r="O96" s="20"/>
      <c r="P96" s="74"/>
    </row>
    <row r="97" spans="10:16">
      <c r="J97" s="72"/>
      <c r="K97" s="20"/>
      <c r="L97" s="20"/>
      <c r="M97" s="20"/>
      <c r="N97" s="73"/>
      <c r="O97" s="20"/>
      <c r="P97" s="74"/>
    </row>
    <row r="98" spans="10:16">
      <c r="J98" s="72"/>
      <c r="K98" s="20"/>
      <c r="L98" s="20"/>
      <c r="M98" s="20"/>
      <c r="N98" s="73"/>
      <c r="O98" s="20"/>
      <c r="P98" s="74"/>
    </row>
    <row r="99" spans="10:16">
      <c r="J99" s="72"/>
      <c r="K99" s="20"/>
      <c r="L99" s="20"/>
      <c r="M99" s="20"/>
      <c r="N99" s="73"/>
      <c r="O99" s="20"/>
      <c r="P99" s="74"/>
    </row>
    <row r="100" spans="10:16">
      <c r="J100" s="72"/>
      <c r="K100" s="20"/>
      <c r="L100" s="20"/>
      <c r="M100" s="20"/>
      <c r="N100" s="73"/>
      <c r="O100" s="20"/>
      <c r="P100" s="74"/>
    </row>
    <row r="101" spans="10:16">
      <c r="J101" s="72"/>
      <c r="K101" s="20"/>
      <c r="L101" s="20"/>
      <c r="M101" s="20"/>
      <c r="N101" s="73"/>
      <c r="O101" s="20"/>
      <c r="P101" s="74"/>
    </row>
    <row r="102" spans="10:16">
      <c r="J102" s="72"/>
      <c r="K102" s="20"/>
      <c r="L102" s="20"/>
      <c r="M102" s="20"/>
      <c r="N102" s="73"/>
      <c r="O102" s="20"/>
      <c r="P102" s="74"/>
    </row>
    <row r="103" spans="10:16">
      <c r="J103" s="72"/>
      <c r="K103" s="20"/>
      <c r="L103" s="20"/>
      <c r="M103" s="20"/>
      <c r="N103" s="73"/>
      <c r="O103" s="20"/>
      <c r="P103" s="74"/>
    </row>
    <row r="104" spans="10:16">
      <c r="J104" s="72"/>
      <c r="K104" s="20"/>
      <c r="L104" s="20"/>
      <c r="M104" s="20"/>
      <c r="N104" s="73"/>
      <c r="O104" s="20"/>
      <c r="P104" s="74"/>
    </row>
    <row r="105" spans="10:16">
      <c r="J105" s="72"/>
      <c r="K105" s="20"/>
      <c r="L105" s="20"/>
      <c r="M105" s="20"/>
      <c r="N105" s="73"/>
      <c r="O105" s="20"/>
      <c r="P105" s="74"/>
    </row>
    <row r="106" spans="10:16">
      <c r="J106" s="72"/>
      <c r="K106" s="20"/>
      <c r="L106" s="20"/>
      <c r="M106" s="20"/>
      <c r="N106" s="73"/>
      <c r="O106" s="20"/>
      <c r="P106" s="74"/>
    </row>
    <row r="107" spans="10:16">
      <c r="J107" s="72"/>
      <c r="K107" s="20"/>
      <c r="L107" s="20"/>
      <c r="M107" s="20"/>
      <c r="N107" s="73"/>
      <c r="O107" s="20"/>
      <c r="P107" s="74"/>
    </row>
    <row r="108" spans="10:16">
      <c r="J108" s="72"/>
      <c r="K108" s="20"/>
      <c r="L108" s="20"/>
      <c r="M108" s="20"/>
      <c r="N108" s="73"/>
      <c r="O108" s="20"/>
      <c r="P108" s="74"/>
    </row>
    <row r="109" spans="10:16">
      <c r="J109" s="72"/>
      <c r="K109" s="20"/>
      <c r="L109" s="20"/>
      <c r="M109" s="20"/>
      <c r="N109" s="73"/>
      <c r="O109" s="20"/>
      <c r="P109" s="74"/>
    </row>
    <row r="110" spans="10:16">
      <c r="J110" s="72"/>
      <c r="K110" s="20"/>
      <c r="L110" s="20"/>
      <c r="M110" s="20"/>
      <c r="N110" s="73"/>
      <c r="O110" s="20"/>
      <c r="P110" s="74"/>
    </row>
    <row r="111" spans="10:16">
      <c r="J111" s="72"/>
      <c r="K111" s="20"/>
      <c r="L111" s="20"/>
      <c r="M111" s="20"/>
      <c r="N111" s="73"/>
      <c r="O111" s="20"/>
      <c r="P111" s="74"/>
    </row>
    <row r="112" spans="10:16">
      <c r="J112" s="72"/>
      <c r="K112" s="20"/>
      <c r="L112" s="20"/>
      <c r="M112" s="20"/>
      <c r="N112" s="73"/>
      <c r="O112" s="20"/>
      <c r="P112" s="74"/>
    </row>
    <row r="113" spans="10:16">
      <c r="J113" s="72"/>
      <c r="K113" s="20"/>
      <c r="L113" s="20"/>
      <c r="M113" s="20"/>
      <c r="N113" s="73"/>
      <c r="O113" s="20"/>
      <c r="P113" s="74"/>
    </row>
    <row r="114" spans="10:16">
      <c r="J114" s="72"/>
      <c r="K114" s="20"/>
      <c r="L114" s="20"/>
      <c r="M114" s="20"/>
      <c r="N114" s="73"/>
      <c r="O114" s="20"/>
      <c r="P114" s="74"/>
    </row>
    <row r="115" spans="10:16">
      <c r="J115" s="72"/>
      <c r="K115" s="20"/>
      <c r="L115" s="20"/>
      <c r="M115" s="20"/>
      <c r="N115" s="73"/>
      <c r="O115" s="20"/>
      <c r="P115" s="74"/>
    </row>
    <row r="116" spans="10:16">
      <c r="J116" s="72"/>
      <c r="K116" s="20"/>
      <c r="L116" s="20"/>
      <c r="M116" s="20"/>
      <c r="N116" s="73"/>
      <c r="O116" s="20"/>
      <c r="P116" s="74"/>
    </row>
    <row r="117" spans="10:16">
      <c r="J117" s="72"/>
      <c r="K117" s="20"/>
      <c r="L117" s="20"/>
      <c r="M117" s="20"/>
      <c r="N117" s="73"/>
      <c r="O117" s="20"/>
      <c r="P117" s="74"/>
    </row>
    <row r="118" spans="10:16">
      <c r="J118" s="72"/>
      <c r="K118" s="20"/>
      <c r="L118" s="20"/>
      <c r="M118" s="20"/>
      <c r="N118" s="73"/>
      <c r="O118" s="20"/>
      <c r="P118" s="74"/>
    </row>
    <row r="119" spans="10:16">
      <c r="J119" s="72"/>
      <c r="K119" s="20"/>
      <c r="L119" s="20"/>
      <c r="M119" s="20"/>
      <c r="N119" s="73"/>
      <c r="O119" s="20"/>
      <c r="P119" s="74"/>
    </row>
    <row r="120" spans="10:16">
      <c r="J120" s="72"/>
      <c r="K120" s="20"/>
      <c r="L120" s="20"/>
      <c r="M120" s="20"/>
      <c r="N120" s="73"/>
      <c r="O120" s="20"/>
      <c r="P120" s="74"/>
    </row>
    <row r="121" spans="10:16">
      <c r="J121" s="72"/>
      <c r="K121" s="20"/>
      <c r="L121" s="20"/>
      <c r="M121" s="20"/>
      <c r="N121" s="73"/>
      <c r="O121" s="20"/>
      <c r="P121" s="74"/>
    </row>
    <row r="122" spans="10:16">
      <c r="J122" s="72"/>
      <c r="K122" s="20"/>
      <c r="L122" s="20"/>
      <c r="M122" s="20"/>
      <c r="N122" s="73"/>
      <c r="O122" s="20"/>
      <c r="P122" s="74"/>
    </row>
    <row r="123" spans="10:16">
      <c r="J123" s="72"/>
      <c r="K123" s="20"/>
      <c r="L123" s="20"/>
      <c r="M123" s="20"/>
      <c r="N123" s="73"/>
      <c r="O123" s="20"/>
      <c r="P123" s="74"/>
    </row>
    <row r="124" spans="10:16">
      <c r="J124" s="72"/>
      <c r="K124" s="20"/>
      <c r="L124" s="20"/>
      <c r="M124" s="20"/>
      <c r="N124" s="73"/>
      <c r="O124" s="20"/>
      <c r="P124" s="74"/>
    </row>
    <row r="125" spans="10:16">
      <c r="J125" s="72"/>
      <c r="K125" s="20"/>
      <c r="L125" s="20"/>
      <c r="M125" s="20"/>
      <c r="N125" s="73"/>
      <c r="O125" s="20"/>
      <c r="P125" s="74"/>
    </row>
    <row r="126" spans="10:16">
      <c r="J126" s="72"/>
      <c r="K126" s="20"/>
      <c r="L126" s="20"/>
      <c r="M126" s="20"/>
      <c r="N126" s="73"/>
      <c r="O126" s="20"/>
      <c r="P126" s="74"/>
    </row>
    <row r="127" spans="10:16">
      <c r="J127" s="72"/>
      <c r="K127" s="20"/>
      <c r="L127" s="20"/>
      <c r="M127" s="20"/>
      <c r="N127" s="73"/>
      <c r="O127" s="20"/>
      <c r="P127" s="74"/>
    </row>
    <row r="128" spans="10:16">
      <c r="J128" s="72"/>
      <c r="K128" s="20"/>
      <c r="L128" s="20"/>
      <c r="M128" s="20"/>
      <c r="N128" s="73"/>
      <c r="O128" s="20"/>
      <c r="P128" s="74"/>
    </row>
    <row r="129" spans="10:16">
      <c r="J129" s="72"/>
      <c r="K129" s="20"/>
      <c r="L129" s="20"/>
      <c r="M129" s="20"/>
      <c r="N129" s="73"/>
      <c r="O129" s="20"/>
      <c r="P129" s="74"/>
    </row>
    <row r="130" spans="10:16">
      <c r="J130" s="72"/>
      <c r="K130" s="20"/>
      <c r="L130" s="20"/>
      <c r="M130" s="20"/>
      <c r="N130" s="73"/>
      <c r="O130" s="20"/>
      <c r="P130" s="74"/>
    </row>
    <row r="131" spans="10:16">
      <c r="J131" s="72"/>
      <c r="K131" s="20"/>
      <c r="L131" s="20"/>
      <c r="M131" s="20"/>
      <c r="N131" s="73"/>
      <c r="O131" s="20"/>
      <c r="P131" s="74"/>
    </row>
    <row r="132" spans="10:16">
      <c r="J132" s="72"/>
      <c r="K132" s="20"/>
      <c r="L132" s="20"/>
      <c r="M132" s="20"/>
      <c r="N132" s="73"/>
      <c r="O132" s="20"/>
      <c r="P132" s="74"/>
    </row>
    <row r="133" spans="10:16">
      <c r="J133" s="72"/>
      <c r="K133" s="20"/>
      <c r="L133" s="20"/>
      <c r="M133" s="20"/>
      <c r="N133" s="73"/>
      <c r="O133" s="20"/>
      <c r="P133" s="74"/>
    </row>
    <row r="134" spans="10:16">
      <c r="J134" s="72"/>
      <c r="K134" s="20"/>
      <c r="L134" s="20"/>
      <c r="M134" s="20"/>
      <c r="N134" s="73"/>
      <c r="O134" s="20"/>
      <c r="P134" s="74"/>
    </row>
    <row r="135" spans="10:16">
      <c r="J135" s="72"/>
      <c r="K135" s="20"/>
      <c r="L135" s="20"/>
      <c r="M135" s="20"/>
      <c r="N135" s="73"/>
      <c r="O135" s="20"/>
      <c r="P135" s="74"/>
    </row>
    <row r="136" spans="10:16">
      <c r="J136" s="72"/>
      <c r="K136" s="20"/>
      <c r="L136" s="20"/>
      <c r="M136" s="20"/>
      <c r="N136" s="73"/>
      <c r="O136" s="20"/>
      <c r="P136" s="74"/>
    </row>
    <row r="137" spans="10:16">
      <c r="J137" s="72"/>
      <c r="K137" s="20"/>
      <c r="L137" s="20"/>
      <c r="M137" s="20"/>
      <c r="N137" s="73"/>
      <c r="O137" s="20"/>
      <c r="P137" s="74"/>
    </row>
    <row r="138" spans="10:16">
      <c r="J138" s="72"/>
      <c r="K138" s="20"/>
      <c r="L138" s="20"/>
      <c r="M138" s="20"/>
      <c r="N138" s="73"/>
      <c r="O138" s="20"/>
      <c r="P138" s="74"/>
    </row>
    <row r="139" spans="10:16">
      <c r="J139" s="72"/>
      <c r="K139" s="20"/>
      <c r="L139" s="20"/>
      <c r="M139" s="20"/>
      <c r="N139" s="73"/>
      <c r="O139" s="20"/>
      <c r="P139" s="74"/>
    </row>
    <row r="140" spans="10:16">
      <c r="J140" s="72"/>
      <c r="K140" s="20"/>
      <c r="L140" s="20"/>
      <c r="M140" s="20"/>
      <c r="N140" s="73"/>
      <c r="O140" s="20"/>
      <c r="P140" s="74"/>
    </row>
    <row r="141" spans="10:16">
      <c r="J141" s="72"/>
      <c r="K141" s="20"/>
      <c r="L141" s="20"/>
      <c r="M141" s="20"/>
      <c r="N141" s="73"/>
      <c r="O141" s="20"/>
      <c r="P141" s="74"/>
    </row>
    <row r="142" spans="10:16">
      <c r="J142" s="72"/>
      <c r="K142" s="20"/>
      <c r="L142" s="20"/>
      <c r="M142" s="20"/>
      <c r="N142" s="73"/>
      <c r="O142" s="20"/>
      <c r="P142" s="74"/>
    </row>
    <row r="143" spans="10:16">
      <c r="J143" s="72"/>
      <c r="K143" s="20"/>
      <c r="L143" s="20"/>
      <c r="M143" s="20"/>
      <c r="N143" s="73"/>
      <c r="O143" s="20"/>
      <c r="P143" s="74"/>
    </row>
    <row r="144" spans="10:16">
      <c r="J144" s="72"/>
      <c r="K144" s="20"/>
      <c r="L144" s="20"/>
      <c r="M144" s="20"/>
      <c r="N144" s="73"/>
      <c r="O144" s="20"/>
      <c r="P144" s="74"/>
    </row>
    <row r="145" spans="10:16">
      <c r="J145" s="72"/>
      <c r="K145" s="20"/>
      <c r="L145" s="20"/>
      <c r="M145" s="20"/>
      <c r="N145" s="73"/>
      <c r="O145" s="20"/>
      <c r="P145" s="74"/>
    </row>
    <row r="146" spans="10:16">
      <c r="J146" s="72"/>
      <c r="K146" s="20"/>
      <c r="L146" s="20"/>
      <c r="M146" s="20"/>
      <c r="N146" s="73"/>
      <c r="O146" s="20"/>
      <c r="P146" s="74"/>
    </row>
    <row r="147" spans="10:16">
      <c r="J147" s="72"/>
      <c r="K147" s="20"/>
      <c r="L147" s="20"/>
      <c r="M147" s="20"/>
      <c r="N147" s="73"/>
      <c r="O147" s="20"/>
      <c r="P147" s="74"/>
    </row>
    <row r="148" spans="10:16">
      <c r="J148" s="72"/>
      <c r="K148" s="20"/>
      <c r="L148" s="20"/>
      <c r="M148" s="20"/>
      <c r="N148" s="73"/>
      <c r="O148" s="20"/>
      <c r="P148" s="74"/>
    </row>
    <row r="149" spans="10:16">
      <c r="J149" s="72"/>
      <c r="K149" s="20"/>
      <c r="L149" s="20"/>
      <c r="M149" s="20"/>
      <c r="N149" s="73"/>
      <c r="O149" s="20"/>
      <c r="P149" s="74"/>
    </row>
    <row r="150" spans="10:16">
      <c r="J150" s="72"/>
      <c r="K150" s="20"/>
      <c r="L150" s="20"/>
      <c r="M150" s="20"/>
      <c r="N150" s="73"/>
      <c r="O150" s="20"/>
      <c r="P150" s="74"/>
    </row>
    <row r="151" spans="10:16">
      <c r="J151" s="72"/>
      <c r="K151" s="20"/>
      <c r="L151" s="20"/>
      <c r="M151" s="20"/>
      <c r="N151" s="73"/>
      <c r="O151" s="20"/>
      <c r="P151" s="74"/>
    </row>
    <row r="152" spans="10:16">
      <c r="J152" s="72"/>
      <c r="K152" s="20"/>
      <c r="L152" s="20"/>
      <c r="M152" s="20"/>
      <c r="N152" s="73"/>
      <c r="O152" s="20"/>
      <c r="P152" s="74"/>
    </row>
    <row r="153" spans="10:16">
      <c r="J153" s="72"/>
      <c r="K153" s="20"/>
      <c r="L153" s="20"/>
      <c r="M153" s="20"/>
      <c r="N153" s="73"/>
      <c r="O153" s="20"/>
      <c r="P153" s="74"/>
    </row>
    <row r="154" spans="10:16">
      <c r="J154" s="72"/>
      <c r="K154" s="20"/>
      <c r="L154" s="20"/>
      <c r="M154" s="20"/>
      <c r="N154" s="73"/>
      <c r="O154" s="20"/>
      <c r="P154" s="74"/>
    </row>
    <row r="155" spans="10:16">
      <c r="J155" s="72"/>
      <c r="K155" s="20"/>
      <c r="L155" s="20"/>
      <c r="M155" s="20"/>
      <c r="N155" s="73"/>
      <c r="O155" s="20"/>
      <c r="P155" s="74"/>
    </row>
    <row r="156" spans="10:16">
      <c r="J156" s="72"/>
      <c r="K156" s="20"/>
      <c r="L156" s="20"/>
      <c r="M156" s="20"/>
      <c r="N156" s="73"/>
      <c r="O156" s="20"/>
      <c r="P156" s="74"/>
    </row>
    <row r="157" spans="10:16">
      <c r="J157" s="72"/>
      <c r="K157" s="20"/>
      <c r="L157" s="20"/>
      <c r="M157" s="20"/>
      <c r="N157" s="73"/>
      <c r="O157" s="20"/>
      <c r="P157" s="74"/>
    </row>
    <row r="158" spans="10:16">
      <c r="J158" s="72"/>
      <c r="K158" s="20"/>
      <c r="L158" s="20"/>
      <c r="M158" s="20"/>
      <c r="N158" s="73"/>
      <c r="O158" s="20"/>
      <c r="P158" s="74"/>
    </row>
    <row r="159" spans="10:16">
      <c r="J159" s="72"/>
      <c r="K159" s="20"/>
      <c r="L159" s="20"/>
      <c r="M159" s="20"/>
      <c r="N159" s="73"/>
      <c r="O159" s="20"/>
      <c r="P159" s="74"/>
    </row>
    <row r="160" spans="10:16">
      <c r="J160" s="72"/>
      <c r="K160" s="20"/>
      <c r="L160" s="20"/>
      <c r="M160" s="20"/>
      <c r="N160" s="73"/>
      <c r="O160" s="20"/>
      <c r="P160" s="74"/>
    </row>
    <row r="161" spans="10:16">
      <c r="J161" s="72"/>
      <c r="K161" s="20"/>
      <c r="L161" s="20"/>
      <c r="M161" s="20"/>
      <c r="N161" s="73"/>
      <c r="O161" s="20"/>
      <c r="P161" s="74"/>
    </row>
    <row r="162" spans="10:16">
      <c r="J162" s="72"/>
      <c r="K162" s="20"/>
      <c r="L162" s="20"/>
      <c r="M162" s="20"/>
      <c r="N162" s="73"/>
      <c r="O162" s="20"/>
      <c r="P162" s="74"/>
    </row>
    <row r="163" spans="10:16">
      <c r="J163" s="72"/>
      <c r="K163" s="20"/>
      <c r="L163" s="20"/>
      <c r="M163" s="20"/>
      <c r="N163" s="73"/>
      <c r="O163" s="20"/>
      <c r="P163" s="74"/>
    </row>
    <row r="164" spans="10:16">
      <c r="J164" s="72"/>
      <c r="K164" s="20"/>
      <c r="L164" s="20"/>
      <c r="M164" s="20"/>
      <c r="N164" s="73"/>
      <c r="O164" s="20"/>
      <c r="P164" s="74"/>
    </row>
    <row r="165" spans="10:16">
      <c r="J165" s="72"/>
      <c r="K165" s="20"/>
      <c r="L165" s="20"/>
      <c r="M165" s="20"/>
      <c r="N165" s="73"/>
      <c r="O165" s="20"/>
      <c r="P165" s="74"/>
    </row>
    <row r="166" spans="10:16">
      <c r="J166" s="72"/>
      <c r="K166" s="20"/>
      <c r="L166" s="20"/>
      <c r="M166" s="20"/>
      <c r="N166" s="73"/>
      <c r="O166" s="20"/>
      <c r="P166" s="74"/>
    </row>
    <row r="167" spans="10:16">
      <c r="J167" s="72"/>
      <c r="K167" s="20"/>
      <c r="L167" s="20"/>
      <c r="M167" s="20"/>
      <c r="N167" s="73"/>
      <c r="O167" s="20"/>
      <c r="P167" s="74"/>
    </row>
    <row r="168" spans="10:16">
      <c r="J168" s="72"/>
      <c r="K168" s="20"/>
      <c r="L168" s="20"/>
      <c r="M168" s="20"/>
      <c r="N168" s="73"/>
      <c r="O168" s="20"/>
      <c r="P168" s="74"/>
    </row>
    <row r="169" spans="10:16">
      <c r="J169" s="72"/>
      <c r="K169" s="20"/>
      <c r="L169" s="20"/>
      <c r="M169" s="20"/>
      <c r="N169" s="73"/>
      <c r="O169" s="20"/>
      <c r="P169" s="74"/>
    </row>
    <row r="170" spans="10:16">
      <c r="J170" s="72"/>
      <c r="K170" s="20"/>
      <c r="L170" s="20"/>
      <c r="M170" s="20"/>
      <c r="N170" s="73"/>
      <c r="O170" s="20"/>
      <c r="P170" s="74"/>
    </row>
    <row r="171" spans="10:16">
      <c r="J171" s="72"/>
      <c r="K171" s="20"/>
      <c r="L171" s="20"/>
      <c r="M171" s="20"/>
      <c r="N171" s="73"/>
      <c r="O171" s="20"/>
      <c r="P171" s="74"/>
    </row>
    <row r="172" spans="10:16">
      <c r="J172" s="72"/>
      <c r="K172" s="20"/>
      <c r="L172" s="20"/>
      <c r="M172" s="20"/>
      <c r="N172" s="73"/>
      <c r="O172" s="20"/>
      <c r="P172" s="74"/>
    </row>
    <row r="173" spans="10:16">
      <c r="J173" s="72"/>
      <c r="K173" s="20"/>
      <c r="L173" s="20"/>
      <c r="M173" s="20"/>
      <c r="N173" s="73"/>
      <c r="O173" s="20"/>
      <c r="P173" s="74"/>
    </row>
    <row r="174" spans="10:16">
      <c r="J174" s="72"/>
      <c r="K174" s="20"/>
      <c r="L174" s="20"/>
      <c r="M174" s="20"/>
      <c r="N174" s="73"/>
      <c r="O174" s="20"/>
      <c r="P174" s="74"/>
    </row>
    <row r="175" spans="10:16">
      <c r="J175" s="72"/>
      <c r="K175" s="20"/>
      <c r="L175" s="20"/>
      <c r="M175" s="20"/>
      <c r="N175" s="73"/>
      <c r="O175" s="20"/>
      <c r="P175" s="74"/>
    </row>
    <row r="176" spans="10:16">
      <c r="J176" s="72"/>
      <c r="K176" s="20"/>
      <c r="L176" s="20"/>
      <c r="M176" s="20"/>
      <c r="N176" s="73"/>
      <c r="O176" s="20"/>
      <c r="P176" s="74"/>
    </row>
    <row r="177" spans="10:16">
      <c r="J177" s="72"/>
      <c r="K177" s="20"/>
      <c r="L177" s="20"/>
      <c r="M177" s="20"/>
      <c r="N177" s="73"/>
      <c r="O177" s="20"/>
      <c r="P177" s="74"/>
    </row>
    <row r="178" spans="10:16">
      <c r="J178" s="72"/>
      <c r="K178" s="20"/>
      <c r="L178" s="20"/>
      <c r="M178" s="20"/>
      <c r="N178" s="73"/>
      <c r="O178" s="20"/>
      <c r="P178" s="74"/>
    </row>
    <row r="179" spans="10:16">
      <c r="J179" s="72"/>
      <c r="K179" s="20"/>
      <c r="L179" s="20"/>
      <c r="M179" s="20"/>
      <c r="N179" s="73"/>
      <c r="O179" s="20"/>
      <c r="P179" s="74"/>
    </row>
    <row r="180" spans="10:16">
      <c r="J180" s="72"/>
      <c r="K180" s="20"/>
      <c r="L180" s="20"/>
      <c r="M180" s="20"/>
      <c r="N180" s="73"/>
      <c r="O180" s="20"/>
      <c r="P180" s="74"/>
    </row>
    <row r="181" spans="10:16">
      <c r="J181" s="72"/>
      <c r="K181" s="20"/>
      <c r="L181" s="20"/>
      <c r="M181" s="20"/>
      <c r="N181" s="73"/>
      <c r="O181" s="20"/>
      <c r="P181" s="74"/>
    </row>
    <row r="182" spans="10:16">
      <c r="J182" s="72"/>
      <c r="K182" s="20"/>
      <c r="L182" s="20"/>
      <c r="M182" s="20"/>
      <c r="N182" s="73"/>
      <c r="O182" s="20"/>
      <c r="P182" s="74"/>
    </row>
    <row r="183" spans="10:16">
      <c r="J183" s="72"/>
      <c r="K183" s="20"/>
      <c r="L183" s="20"/>
      <c r="M183" s="20"/>
      <c r="N183" s="73"/>
      <c r="O183" s="20"/>
      <c r="P183" s="74"/>
    </row>
    <row r="184" spans="10:16">
      <c r="J184" s="72"/>
      <c r="K184" s="20"/>
      <c r="L184" s="20"/>
      <c r="M184" s="20"/>
      <c r="N184" s="73"/>
      <c r="O184" s="20"/>
      <c r="P184" s="74"/>
    </row>
    <row r="185" spans="10:16">
      <c r="J185" s="72"/>
      <c r="K185" s="20"/>
      <c r="L185" s="20"/>
      <c r="M185" s="20"/>
      <c r="N185" s="73"/>
      <c r="O185" s="20"/>
      <c r="P185" s="74"/>
    </row>
    <row r="186" spans="10:16">
      <c r="J186" s="72"/>
      <c r="K186" s="20"/>
      <c r="L186" s="20"/>
      <c r="M186" s="20"/>
      <c r="N186" s="73"/>
      <c r="O186" s="20"/>
      <c r="P186" s="74"/>
    </row>
    <row r="187" spans="10:16">
      <c r="J187" s="72"/>
      <c r="K187" s="20"/>
      <c r="L187" s="20"/>
      <c r="M187" s="20"/>
      <c r="N187" s="73"/>
      <c r="O187" s="20"/>
      <c r="P187" s="74"/>
    </row>
    <row r="188" spans="10:16">
      <c r="J188" s="72"/>
      <c r="K188" s="20"/>
      <c r="L188" s="20"/>
      <c r="M188" s="20"/>
      <c r="N188" s="73"/>
      <c r="O188" s="20"/>
      <c r="P188" s="74"/>
    </row>
    <row r="189" spans="10:16">
      <c r="J189" s="72"/>
      <c r="K189" s="20"/>
      <c r="L189" s="20"/>
      <c r="M189" s="20"/>
      <c r="N189" s="73"/>
      <c r="O189" s="20"/>
      <c r="P189" s="74"/>
    </row>
    <row r="190" spans="10:16">
      <c r="J190" s="72"/>
      <c r="K190" s="20"/>
      <c r="L190" s="20"/>
      <c r="M190" s="20"/>
      <c r="N190" s="73"/>
      <c r="O190" s="20"/>
      <c r="P190" s="74"/>
    </row>
    <row r="191" spans="10:16">
      <c r="J191" s="72"/>
      <c r="K191" s="20"/>
      <c r="L191" s="20"/>
      <c r="M191" s="20"/>
      <c r="N191" s="73"/>
      <c r="O191" s="20"/>
      <c r="P191" s="74"/>
    </row>
    <row r="192" spans="10:16">
      <c r="J192" s="72"/>
      <c r="K192" s="20"/>
      <c r="L192" s="20"/>
      <c r="M192" s="20"/>
      <c r="N192" s="73"/>
      <c r="O192" s="20"/>
      <c r="P192" s="74"/>
    </row>
    <row r="193" spans="10:15">
      <c r="J193" s="72"/>
      <c r="M193" s="20"/>
      <c r="N193" s="73"/>
      <c r="O193" s="20"/>
    </row>
    <row r="194" spans="10:15">
      <c r="J194" s="72"/>
      <c r="O194" s="71"/>
    </row>
    <row r="195" spans="10:15">
      <c r="J195" s="72"/>
      <c r="O195" s="71"/>
    </row>
    <row r="196" spans="10:15">
      <c r="J196" s="72"/>
      <c r="O196" s="71"/>
    </row>
    <row r="197" spans="10:15">
      <c r="J197" s="72"/>
      <c r="O197" s="71"/>
    </row>
    <row r="198" spans="10:15">
      <c r="J198" s="72"/>
      <c r="O198" s="71"/>
    </row>
    <row r="199" spans="10:15">
      <c r="J199" s="72"/>
      <c r="O199" s="71"/>
    </row>
    <row r="200" spans="10:15">
      <c r="J200" s="72"/>
      <c r="O200" s="71"/>
    </row>
    <row r="201" spans="10:15">
      <c r="J201" s="72"/>
      <c r="O201" s="71"/>
    </row>
    <row r="202" spans="10:15">
      <c r="J202" s="72"/>
      <c r="O202" s="71"/>
    </row>
    <row r="203" spans="10:15">
      <c r="J203" s="72"/>
      <c r="O203" s="71"/>
    </row>
    <row r="204" spans="10:15">
      <c r="J204" s="72"/>
      <c r="O204" s="71"/>
    </row>
    <row r="205" spans="10:15">
      <c r="J205" s="72"/>
      <c r="O205" s="71"/>
    </row>
    <row r="206" spans="10:15">
      <c r="J206" s="72"/>
      <c r="O206" s="71"/>
    </row>
    <row r="207" spans="10:15">
      <c r="J207" s="72"/>
      <c r="O207" s="71"/>
    </row>
    <row r="208" spans="10:15">
      <c r="J208" s="72"/>
      <c r="O208" s="71"/>
    </row>
    <row r="209" spans="10:15">
      <c r="J209" s="72"/>
      <c r="O209" s="71"/>
    </row>
    <row r="210" spans="10:15">
      <c r="J210" s="72"/>
      <c r="O210" s="71"/>
    </row>
    <row r="211" spans="10:15">
      <c r="J211" s="72"/>
      <c r="O211" s="71"/>
    </row>
    <row r="212" spans="10:15">
      <c r="J212" s="72"/>
      <c r="O212" s="71"/>
    </row>
    <row r="213" spans="10:15">
      <c r="J213" s="72"/>
      <c r="O213" s="71"/>
    </row>
    <row r="214" spans="10:15">
      <c r="J214" s="72"/>
      <c r="O214" s="71"/>
    </row>
    <row r="215" spans="10:15">
      <c r="J215" s="72"/>
      <c r="O215" s="71"/>
    </row>
    <row r="216" spans="10:15">
      <c r="J216" s="72"/>
      <c r="O216" s="71"/>
    </row>
    <row r="217" spans="10:15">
      <c r="J217" s="72"/>
      <c r="O217" s="71"/>
    </row>
    <row r="218" spans="10:15">
      <c r="J218" s="72"/>
      <c r="O218" s="71"/>
    </row>
    <row r="219" spans="10:15">
      <c r="J219" s="72"/>
      <c r="O219" s="71"/>
    </row>
    <row r="220" spans="10:15">
      <c r="J220" s="72"/>
      <c r="O220" s="71"/>
    </row>
    <row r="221" spans="10:15">
      <c r="J221" s="72"/>
      <c r="O221" s="71"/>
    </row>
    <row r="222" spans="10:15">
      <c r="O222" s="7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20"/>
  <sheetViews>
    <sheetView zoomScale="70" zoomScaleNormal="70" workbookViewId="0">
      <selection activeCell="O6" sqref="O6"/>
    </sheetView>
  </sheetViews>
  <sheetFormatPr defaultRowHeight="15"/>
  <cols>
    <col min="1" max="1" width="6.7109375" customWidth="1"/>
    <col min="2" max="2" width="8.42578125" style="43" customWidth="1"/>
    <col min="7" max="7" width="8.85546875" style="28"/>
  </cols>
  <sheetData>
    <row r="1" spans="1:22" ht="18">
      <c r="A1" s="150" t="s">
        <v>112</v>
      </c>
      <c r="B1" s="67" t="s">
        <v>59</v>
      </c>
      <c r="C1" s="235" t="s">
        <v>237</v>
      </c>
      <c r="D1" s="235" t="s">
        <v>236</v>
      </c>
      <c r="E1" s="234" t="s">
        <v>235</v>
      </c>
      <c r="F1" s="233"/>
      <c r="G1" s="233"/>
      <c r="H1" s="233"/>
      <c r="I1" s="233"/>
      <c r="J1" s="233"/>
      <c r="K1" s="233"/>
      <c r="L1" s="233"/>
      <c r="M1" s="232"/>
      <c r="N1" s="231" t="s">
        <v>1</v>
      </c>
      <c r="O1" s="230" t="s">
        <v>2</v>
      </c>
      <c r="P1" s="229"/>
      <c r="Q1" s="231" t="s">
        <v>1</v>
      </c>
      <c r="R1" s="230" t="s">
        <v>2</v>
      </c>
      <c r="S1" s="229"/>
      <c r="T1" s="231" t="s">
        <v>1</v>
      </c>
      <c r="U1" s="230" t="s">
        <v>2</v>
      </c>
      <c r="V1" s="229"/>
    </row>
    <row r="2" spans="1:22">
      <c r="A2" s="72">
        <v>1</v>
      </c>
      <c r="B2" s="20">
        <f>'1. Autocorr'!B3</f>
        <v>1.2999999999999998</v>
      </c>
      <c r="C2" s="20">
        <f>B2</f>
        <v>1.2999999999999998</v>
      </c>
      <c r="D2" s="20">
        <f t="shared" ref="D2:D33" si="0">B2-C2</f>
        <v>0</v>
      </c>
      <c r="E2" s="20"/>
      <c r="F2" s="20"/>
      <c r="G2" s="20"/>
      <c r="H2" s="20"/>
      <c r="I2" s="20"/>
      <c r="J2" s="20"/>
      <c r="K2" s="20"/>
      <c r="L2" s="20"/>
      <c r="M2" s="228"/>
      <c r="N2" s="227"/>
      <c r="O2" s="226"/>
      <c r="P2" s="225" t="s">
        <v>234</v>
      </c>
      <c r="Q2" s="227"/>
      <c r="R2" s="226"/>
      <c r="S2" s="225" t="s">
        <v>233</v>
      </c>
      <c r="T2" s="227"/>
      <c r="U2" s="226"/>
      <c r="V2" s="225" t="s">
        <v>232</v>
      </c>
    </row>
    <row r="3" spans="1:22" ht="18">
      <c r="A3" s="72">
        <v>2</v>
      </c>
      <c r="B3" s="20">
        <f>'1. Autocorr'!B4</f>
        <v>8.6</v>
      </c>
      <c r="C3" s="20">
        <f t="shared" ref="C3:C34" si="1">$N$3*B2-$O$6*D2+AVERAGE($B$2:$B$51)*(1-$N$3)</f>
        <v>1.4776861190045583</v>
      </c>
      <c r="D3" s="20">
        <f t="shared" si="0"/>
        <v>7.1223138809954412</v>
      </c>
      <c r="E3" s="20"/>
      <c r="F3" s="20"/>
      <c r="G3" s="20"/>
      <c r="H3" s="20"/>
      <c r="I3" s="20"/>
      <c r="J3" s="20"/>
      <c r="K3" s="20"/>
      <c r="L3" s="20"/>
      <c r="M3" s="222" t="s">
        <v>90</v>
      </c>
      <c r="N3" s="224">
        <f>'3. Model'!F9</f>
        <v>0.62946758900675348</v>
      </c>
      <c r="O3" s="219"/>
      <c r="P3" s="223"/>
      <c r="Q3" s="220">
        <f>'3. Model'!F9</f>
        <v>0.62946758900675348</v>
      </c>
      <c r="R3" s="219"/>
      <c r="S3" s="223"/>
      <c r="T3" s="220">
        <f>'3. Model'!F9</f>
        <v>0.62946758900675348</v>
      </c>
      <c r="U3" s="219"/>
      <c r="V3" s="223"/>
    </row>
    <row r="4" spans="1:22" ht="18">
      <c r="A4" s="72">
        <v>3</v>
      </c>
      <c r="B4" s="20">
        <f>'1. Autocorr'!B5</f>
        <v>12.132</v>
      </c>
      <c r="C4" s="20">
        <f t="shared" si="1"/>
        <v>8.6964032680339116</v>
      </c>
      <c r="D4" s="20">
        <f t="shared" si="0"/>
        <v>3.4355967319660881</v>
      </c>
      <c r="E4" s="20"/>
      <c r="F4" s="20"/>
      <c r="G4" s="20"/>
      <c r="H4" s="20"/>
      <c r="I4" s="20"/>
      <c r="J4" s="20"/>
      <c r="K4" s="20"/>
      <c r="L4" s="20"/>
      <c r="M4" s="222" t="s">
        <v>92</v>
      </c>
      <c r="N4" s="220"/>
      <c r="O4" s="219"/>
      <c r="P4" s="221"/>
      <c r="Q4" s="220">
        <f>'3. Model'!F8</f>
        <v>0</v>
      </c>
      <c r="R4" s="219"/>
      <c r="S4" s="221"/>
      <c r="T4" s="220">
        <f>'3. Model'!F8</f>
        <v>0</v>
      </c>
      <c r="U4" s="219"/>
      <c r="V4" s="218"/>
    </row>
    <row r="5" spans="1:22" ht="18">
      <c r="A5" s="72">
        <v>4</v>
      </c>
      <c r="B5" s="20">
        <f>'1. Autocorr'!B6</f>
        <v>10.9696</v>
      </c>
      <c r="C5" s="20">
        <f t="shared" si="1"/>
        <v>9.5616290620671336</v>
      </c>
      <c r="D5" s="20">
        <f t="shared" si="0"/>
        <v>1.4079709379328662</v>
      </c>
      <c r="E5" s="20"/>
      <c r="F5" s="20"/>
      <c r="G5" s="20"/>
      <c r="H5" s="20"/>
      <c r="I5" s="20"/>
      <c r="J5" s="20"/>
      <c r="K5" s="20"/>
      <c r="L5" s="20"/>
      <c r="M5" s="222" t="s">
        <v>95</v>
      </c>
      <c r="N5" s="220"/>
      <c r="O5" s="219"/>
      <c r="P5" s="221"/>
      <c r="Q5" s="220"/>
      <c r="R5" s="219"/>
      <c r="S5" s="221"/>
      <c r="T5" s="220">
        <f>'3. Model'!F7</f>
        <v>0</v>
      </c>
      <c r="U5" s="219"/>
      <c r="V5" s="218"/>
    </row>
    <row r="6" spans="1:22" ht="18">
      <c r="A6" s="72">
        <v>5</v>
      </c>
      <c r="B6" s="20">
        <f>'1. Autocorr'!B7</f>
        <v>7.8545599999999984</v>
      </c>
      <c r="C6" s="20">
        <f t="shared" si="1"/>
        <v>8.083031668660249</v>
      </c>
      <c r="D6" s="20">
        <f t="shared" si="0"/>
        <v>-0.22847166866025059</v>
      </c>
      <c r="E6" s="20"/>
      <c r="F6" s="20"/>
      <c r="G6" s="20"/>
      <c r="H6" s="20"/>
      <c r="I6" s="20"/>
      <c r="J6" s="20"/>
      <c r="K6" s="20"/>
      <c r="L6" s="20"/>
      <c r="M6" s="217" t="s">
        <v>225</v>
      </c>
      <c r="N6" s="215"/>
      <c r="O6" s="214">
        <f>'3. Model'!G9</f>
        <v>-0.36836396052140391</v>
      </c>
      <c r="P6" s="216"/>
      <c r="Q6" s="215"/>
      <c r="R6" s="214">
        <f>'3. Model'!G9</f>
        <v>-0.36836396052140391</v>
      </c>
      <c r="S6" s="216"/>
      <c r="T6" s="215"/>
      <c r="U6" s="214">
        <f>'3. Model'!G9</f>
        <v>-0.36836396052140391</v>
      </c>
      <c r="V6" s="213"/>
    </row>
    <row r="7" spans="1:22">
      <c r="A7" s="72">
        <v>6</v>
      </c>
      <c r="B7" s="20">
        <f>'1. Autocorr'!B8</f>
        <v>6.9285119999999987</v>
      </c>
      <c r="C7" s="20">
        <f t="shared" si="1"/>
        <v>5.5194084704700401</v>
      </c>
      <c r="D7" s="20">
        <f t="shared" si="0"/>
        <v>1.4091035295299585</v>
      </c>
      <c r="E7" s="20"/>
      <c r="F7" s="20"/>
      <c r="G7" s="20"/>
      <c r="H7" s="20"/>
      <c r="I7" s="20"/>
      <c r="J7" s="20"/>
      <c r="K7" s="20"/>
      <c r="L7" s="20"/>
      <c r="M7" s="204"/>
      <c r="N7" s="212"/>
      <c r="O7" s="211"/>
      <c r="P7" s="210" t="s">
        <v>231</v>
      </c>
      <c r="Q7" s="212"/>
      <c r="R7" s="211"/>
      <c r="S7" s="210" t="s">
        <v>230</v>
      </c>
      <c r="T7" s="211"/>
      <c r="U7" s="211"/>
      <c r="V7" s="210" t="s">
        <v>229</v>
      </c>
    </row>
    <row r="8" spans="1:22" ht="18">
      <c r="A8" s="72">
        <v>7</v>
      </c>
      <c r="B8" s="20">
        <f>'1. Autocorr'!B9</f>
        <v>3.8660799999999984</v>
      </c>
      <c r="C8" s="20">
        <f t="shared" si="1"/>
        <v>5.5397149542624824</v>
      </c>
      <c r="D8" s="20">
        <f t="shared" si="0"/>
        <v>-1.673634954262484</v>
      </c>
      <c r="E8" s="20"/>
      <c r="F8" s="20"/>
      <c r="G8" s="20"/>
      <c r="H8" s="20"/>
      <c r="I8" s="20"/>
      <c r="J8" s="20"/>
      <c r="K8" s="20"/>
      <c r="L8" s="20"/>
      <c r="M8" s="208" t="s">
        <v>90</v>
      </c>
      <c r="N8" s="207">
        <f>'3. Model'!F9</f>
        <v>0.62946758900675348</v>
      </c>
      <c r="O8" s="206"/>
      <c r="P8" s="209"/>
      <c r="Q8" s="207">
        <f>'3. Model'!F9</f>
        <v>0.62946758900675348</v>
      </c>
      <c r="R8" s="206"/>
      <c r="S8" s="209"/>
      <c r="T8" s="206">
        <f>'3. Model'!F9</f>
        <v>0.62946758900675348</v>
      </c>
      <c r="U8" s="206"/>
      <c r="V8" s="209"/>
    </row>
    <row r="9" spans="1:22" ht="18">
      <c r="A9" s="72">
        <v>8</v>
      </c>
      <c r="B9" s="20">
        <f>'1. Autocorr'!B10</f>
        <v>2.9443020799999982</v>
      </c>
      <c r="C9" s="20">
        <f t="shared" si="1"/>
        <v>2.4764435095838202</v>
      </c>
      <c r="D9" s="20">
        <f t="shared" si="0"/>
        <v>0.46785857041617795</v>
      </c>
      <c r="E9" s="20"/>
      <c r="F9" s="20"/>
      <c r="G9" s="20"/>
      <c r="H9" s="20"/>
      <c r="I9" s="20"/>
      <c r="J9" s="20"/>
      <c r="K9" s="20"/>
      <c r="L9" s="20"/>
      <c r="M9" s="208" t="s">
        <v>92</v>
      </c>
      <c r="N9" s="207"/>
      <c r="O9" s="206"/>
      <c r="P9" s="205"/>
      <c r="Q9" s="207">
        <f>'3. Model'!F8</f>
        <v>0</v>
      </c>
      <c r="R9" s="206"/>
      <c r="S9" s="205"/>
      <c r="T9" s="206">
        <f>'3. Model'!F8</f>
        <v>0</v>
      </c>
      <c r="U9" s="206"/>
      <c r="V9" s="205"/>
    </row>
    <row r="10" spans="1:22" ht="18">
      <c r="A10" s="72">
        <v>9</v>
      </c>
      <c r="B10" s="20">
        <f>'1. Autocorr'!B11</f>
        <v>-0.12313113600000225</v>
      </c>
      <c r="C10" s="20">
        <f t="shared" si="1"/>
        <v>2.6850632208633325</v>
      </c>
      <c r="D10" s="20">
        <f t="shared" si="0"/>
        <v>-2.8081943568633347</v>
      </c>
      <c r="E10" s="20"/>
      <c r="F10" s="20"/>
      <c r="G10" s="20"/>
      <c r="H10" s="20"/>
      <c r="I10" s="20"/>
      <c r="J10" s="20"/>
      <c r="K10" s="20"/>
      <c r="L10" s="20"/>
      <c r="M10" s="208" t="s">
        <v>95</v>
      </c>
      <c r="N10" s="207"/>
      <c r="O10" s="206"/>
      <c r="P10" s="205"/>
      <c r="Q10" s="207"/>
      <c r="R10" s="206"/>
      <c r="S10" s="205"/>
      <c r="T10" s="206">
        <f>'3. Model'!F7</f>
        <v>0</v>
      </c>
      <c r="U10" s="206"/>
      <c r="V10" s="205"/>
    </row>
    <row r="11" spans="1:22" ht="18">
      <c r="A11" s="72">
        <v>10</v>
      </c>
      <c r="B11" s="20">
        <f>'1. Autocorr'!B12</f>
        <v>4.9504067583999998</v>
      </c>
      <c r="C11" s="20">
        <f t="shared" si="1"/>
        <v>-0.45256640122184</v>
      </c>
      <c r="D11" s="20">
        <f t="shared" si="0"/>
        <v>5.4029731596218395</v>
      </c>
      <c r="E11" s="20"/>
      <c r="F11" s="20"/>
      <c r="G11" s="20"/>
      <c r="H11" s="20"/>
      <c r="I11" s="20"/>
      <c r="J11" s="20"/>
      <c r="K11" s="20"/>
      <c r="L11" s="20"/>
      <c r="M11" s="204" t="s">
        <v>225</v>
      </c>
      <c r="N11" s="207"/>
      <c r="O11" s="206">
        <f>'3. Model'!G9</f>
        <v>-0.36836396052140391</v>
      </c>
      <c r="P11" s="205"/>
      <c r="Q11" s="207"/>
      <c r="R11" s="206">
        <f>'3. Model'!G9</f>
        <v>-0.36836396052140391</v>
      </c>
      <c r="S11" s="205"/>
      <c r="T11" s="206"/>
      <c r="U11" s="206">
        <f>'3. Model'!G9</f>
        <v>-0.36836396052140391</v>
      </c>
      <c r="V11" s="205"/>
    </row>
    <row r="12" spans="1:22" ht="18">
      <c r="A12" s="72">
        <v>11</v>
      </c>
      <c r="B12" s="20">
        <f>'1. Autocorr'!B13</f>
        <v>3.2800263884799983</v>
      </c>
      <c r="C12" s="20">
        <f t="shared" si="1"/>
        <v>5.7657594517777095</v>
      </c>
      <c r="D12" s="20">
        <f t="shared" si="0"/>
        <v>-2.4857330632977113</v>
      </c>
      <c r="E12" s="20"/>
      <c r="F12" s="20"/>
      <c r="G12" s="20"/>
      <c r="H12" s="20"/>
      <c r="I12" s="20"/>
      <c r="J12" s="20"/>
      <c r="K12" s="20"/>
      <c r="L12" s="20"/>
      <c r="M12" s="204" t="s">
        <v>224</v>
      </c>
      <c r="N12" s="203"/>
      <c r="O12" s="202">
        <f>'3. Model'!G8</f>
        <v>0</v>
      </c>
      <c r="P12" s="201"/>
      <c r="Q12" s="203"/>
      <c r="R12" s="202">
        <f>'3. Model'!G8</f>
        <v>0</v>
      </c>
      <c r="S12" s="201"/>
      <c r="T12" s="202"/>
      <c r="U12" s="202">
        <f>'3. Model'!G8</f>
        <v>0</v>
      </c>
      <c r="V12" s="201"/>
    </row>
    <row r="13" spans="1:22">
      <c r="A13" s="72">
        <v>12</v>
      </c>
      <c r="B13" s="20">
        <f>'1. Autocorr'!B14</f>
        <v>-8.8043970560002904E-2</v>
      </c>
      <c r="C13" s="20">
        <f t="shared" si="1"/>
        <v>1.8083940799354656</v>
      </c>
      <c r="D13" s="20">
        <f t="shared" si="0"/>
        <v>-1.8964380504954685</v>
      </c>
      <c r="E13" s="20"/>
      <c r="F13" s="20"/>
      <c r="G13" s="20"/>
      <c r="H13" s="20"/>
      <c r="I13" s="20"/>
      <c r="J13" s="20"/>
      <c r="K13" s="20"/>
      <c r="L13" s="20"/>
      <c r="M13" s="195"/>
      <c r="N13" s="200"/>
      <c r="O13" s="199"/>
      <c r="P13" s="198" t="s">
        <v>228</v>
      </c>
      <c r="Q13" s="200"/>
      <c r="R13" s="199"/>
      <c r="S13" s="198" t="s">
        <v>227</v>
      </c>
      <c r="T13" s="199"/>
      <c r="U13" s="199"/>
      <c r="V13" s="198" t="s">
        <v>226</v>
      </c>
    </row>
    <row r="14" spans="1:22" ht="18">
      <c r="A14" s="72">
        <v>13</v>
      </c>
      <c r="B14" s="20">
        <f>'1. Autocorr'!B15</f>
        <v>2.8647606013951963</v>
      </c>
      <c r="C14" s="20">
        <f t="shared" si="1"/>
        <v>-9.4622003743208838E-2</v>
      </c>
      <c r="D14" s="20">
        <f t="shared" si="0"/>
        <v>2.9593826051384049</v>
      </c>
      <c r="E14" s="20"/>
      <c r="F14" s="20"/>
      <c r="G14" s="20"/>
      <c r="H14" s="20"/>
      <c r="I14" s="20"/>
      <c r="J14" s="20"/>
      <c r="K14" s="20"/>
      <c r="L14" s="20"/>
      <c r="M14" s="196" t="s">
        <v>90</v>
      </c>
      <c r="N14" s="194">
        <f>'3. Model'!F9</f>
        <v>0.62946758900675348</v>
      </c>
      <c r="O14" s="193"/>
      <c r="P14" s="197"/>
      <c r="Q14" s="194">
        <f>'3. Model'!F9</f>
        <v>0.62946758900675348</v>
      </c>
      <c r="R14" s="193"/>
      <c r="S14" s="197"/>
      <c r="T14" s="193">
        <f>'3. Model'!F9</f>
        <v>0.62946758900675348</v>
      </c>
      <c r="U14" s="193"/>
      <c r="V14" s="197"/>
    </row>
    <row r="15" spans="1:22" ht="18">
      <c r="A15" s="72">
        <v>14</v>
      </c>
      <c r="B15" s="20">
        <f>'1. Autocorr'!B16</f>
        <v>3.345895516405756</v>
      </c>
      <c r="C15" s="20">
        <f t="shared" si="1"/>
        <v>3.552782099264483</v>
      </c>
      <c r="D15" s="20">
        <f t="shared" si="0"/>
        <v>-0.20688658285872696</v>
      </c>
      <c r="E15" s="20"/>
      <c r="F15" s="20"/>
      <c r="G15" s="20"/>
      <c r="H15" s="20"/>
      <c r="I15" s="20"/>
      <c r="J15" s="20"/>
      <c r="K15" s="20"/>
      <c r="L15" s="20"/>
      <c r="M15" s="196" t="s">
        <v>92</v>
      </c>
      <c r="N15" s="194"/>
      <c r="O15" s="193"/>
      <c r="P15" s="192"/>
      <c r="Q15" s="194">
        <f>'3. Model'!F8</f>
        <v>0</v>
      </c>
      <c r="R15" s="193"/>
      <c r="S15" s="192"/>
      <c r="T15" s="193">
        <f>'3. Model'!F8</f>
        <v>0</v>
      </c>
      <c r="U15" s="193"/>
      <c r="V15" s="192"/>
    </row>
    <row r="16" spans="1:22" ht="18">
      <c r="A16" s="72">
        <v>15</v>
      </c>
      <c r="B16" s="20">
        <f>'1. Autocorr'!B17</f>
        <v>1.8383547169013719</v>
      </c>
      <c r="C16" s="20">
        <f t="shared" si="1"/>
        <v>2.6893014760356362</v>
      </c>
      <c r="D16" s="20">
        <f t="shared" si="0"/>
        <v>-0.85094675913426432</v>
      </c>
      <c r="E16" s="20"/>
      <c r="F16" s="20"/>
      <c r="G16" s="20"/>
      <c r="H16" s="20"/>
      <c r="I16" s="20"/>
      <c r="J16" s="20"/>
      <c r="K16" s="20"/>
      <c r="L16" s="20"/>
      <c r="M16" s="196" t="s">
        <v>95</v>
      </c>
      <c r="N16" s="194"/>
      <c r="O16" s="193"/>
      <c r="P16" s="192"/>
      <c r="Q16" s="194"/>
      <c r="R16" s="193"/>
      <c r="S16" s="192"/>
      <c r="T16" s="193">
        <f>'3. Model'!F7</f>
        <v>0</v>
      </c>
      <c r="U16" s="193"/>
      <c r="V16" s="192"/>
    </row>
    <row r="17" spans="1:33" ht="18">
      <c r="A17" s="72">
        <v>16</v>
      </c>
      <c r="B17" s="20">
        <f>'1. Autocorr'!B18</f>
        <v>4.535340490896175</v>
      </c>
      <c r="C17" s="20">
        <f t="shared" si="1"/>
        <v>1.5031048462953276</v>
      </c>
      <c r="D17" s="20">
        <f t="shared" si="0"/>
        <v>3.0322356446008474</v>
      </c>
      <c r="E17" s="20"/>
      <c r="F17" s="20"/>
      <c r="G17" s="20"/>
      <c r="H17" s="20"/>
      <c r="I17" s="20"/>
      <c r="J17" s="20"/>
      <c r="K17" s="20"/>
      <c r="L17" s="20"/>
      <c r="M17" s="195" t="s">
        <v>225</v>
      </c>
      <c r="N17" s="194"/>
      <c r="O17" s="193">
        <f>'3. Model'!G9</f>
        <v>-0.36836396052140391</v>
      </c>
      <c r="P17" s="192"/>
      <c r="Q17" s="194"/>
      <c r="R17" s="193">
        <f>'3. Model'!G9</f>
        <v>-0.36836396052140391</v>
      </c>
      <c r="S17" s="192"/>
      <c r="T17" s="193"/>
      <c r="U17" s="193">
        <f>'3. Model'!G9</f>
        <v>-0.36836396052140391</v>
      </c>
      <c r="V17" s="192"/>
    </row>
    <row r="18" spans="1:33" ht="18">
      <c r="A18" s="72">
        <v>17</v>
      </c>
      <c r="B18" s="20">
        <f>'1. Autocorr'!B19</f>
        <v>0.91413563801271902</v>
      </c>
      <c r="C18" s="20">
        <f t="shared" si="1"/>
        <v>4.6311944287042408</v>
      </c>
      <c r="D18" s="20">
        <f t="shared" si="0"/>
        <v>-3.7170587906915218</v>
      </c>
      <c r="E18" s="20"/>
      <c r="F18" s="20"/>
      <c r="G18" s="20"/>
      <c r="H18" s="20"/>
      <c r="I18" s="20"/>
      <c r="J18" s="20"/>
      <c r="K18" s="20"/>
      <c r="L18" s="20"/>
      <c r="M18" s="195" t="s">
        <v>224</v>
      </c>
      <c r="N18" s="194"/>
      <c r="O18" s="193">
        <f>'3. Model'!G8</f>
        <v>0</v>
      </c>
      <c r="P18" s="192"/>
      <c r="Q18" s="194"/>
      <c r="R18" s="193">
        <f>'3. Model'!G8</f>
        <v>0</v>
      </c>
      <c r="S18" s="192"/>
      <c r="T18" s="193"/>
      <c r="U18" s="193">
        <f>'3. Model'!G8</f>
        <v>0</v>
      </c>
      <c r="V18" s="192"/>
    </row>
    <row r="19" spans="1:33" ht="18">
      <c r="A19" s="72">
        <v>18</v>
      </c>
      <c r="B19" s="20">
        <f>'1. Autocorr'!B20</f>
        <v>1.7656540318667853</v>
      </c>
      <c r="C19" s="20">
        <f t="shared" si="1"/>
        <v>-0.13443348824923373</v>
      </c>
      <c r="D19" s="20">
        <f t="shared" si="0"/>
        <v>1.900087520116019</v>
      </c>
      <c r="E19" s="20"/>
      <c r="F19" s="20"/>
      <c r="G19" s="20"/>
      <c r="H19" s="20"/>
      <c r="I19" s="20"/>
      <c r="J19" s="20"/>
      <c r="K19" s="20"/>
      <c r="L19" s="20"/>
      <c r="M19" s="191" t="s">
        <v>223</v>
      </c>
      <c r="N19" s="190"/>
      <c r="O19" s="189">
        <f>'3. Model'!G7</f>
        <v>0</v>
      </c>
      <c r="P19" s="188"/>
      <c r="Q19" s="190"/>
      <c r="R19" s="189">
        <f>'3. Model'!G7</f>
        <v>0</v>
      </c>
      <c r="S19" s="188"/>
      <c r="T19" s="189"/>
      <c r="U19" s="189">
        <f>'3. Model'!G7</f>
        <v>0</v>
      </c>
      <c r="V19" s="188"/>
    </row>
    <row r="20" spans="1:33">
      <c r="A20" s="72">
        <v>19</v>
      </c>
      <c r="B20" s="20">
        <f>'1. Autocorr'!B21</f>
        <v>2.4062615234113913</v>
      </c>
      <c r="C20" s="20">
        <f t="shared" si="1"/>
        <v>2.4707240040022471</v>
      </c>
      <c r="D20" s="20">
        <f t="shared" si="0"/>
        <v>-6.4462480590855797E-2</v>
      </c>
      <c r="E20" s="20"/>
      <c r="F20" s="20"/>
      <c r="G20" s="20"/>
      <c r="H20" s="20"/>
      <c r="I20" s="20"/>
      <c r="J20" s="20"/>
      <c r="K20" s="20"/>
      <c r="L20" s="20"/>
      <c r="M20" s="28"/>
    </row>
    <row r="21" spans="1:33" ht="15.75">
      <c r="A21" s="72">
        <v>20</v>
      </c>
      <c r="B21" s="20">
        <f>'1. Autocorr'!B22</f>
        <v>4.962504573630425</v>
      </c>
      <c r="C21" s="20">
        <f t="shared" si="1"/>
        <v>2.1502962383017832</v>
      </c>
      <c r="D21" s="20">
        <f t="shared" si="0"/>
        <v>2.8122083353286418</v>
      </c>
      <c r="G21" s="176"/>
      <c r="N21" s="187" t="s">
        <v>222</v>
      </c>
      <c r="P21" s="186"/>
      <c r="Q21" s="186"/>
      <c r="R21" s="186"/>
      <c r="S21" s="186"/>
      <c r="T21" s="186"/>
      <c r="U21" s="186"/>
    </row>
    <row r="22" spans="1:33" ht="15.75">
      <c r="A22" s="72">
        <v>21</v>
      </c>
      <c r="B22" s="20">
        <f>'1. Autocorr'!B23</f>
        <v>1.2850018151585152</v>
      </c>
      <c r="C22" s="20">
        <f t="shared" si="1"/>
        <v>4.819030242906873</v>
      </c>
      <c r="D22" s="20">
        <f t="shared" si="0"/>
        <v>-3.5340284277483578</v>
      </c>
      <c r="N22" s="185" t="s">
        <v>221</v>
      </c>
    </row>
    <row r="23" spans="1:33">
      <c r="A23" s="72">
        <v>22</v>
      </c>
      <c r="B23" s="20">
        <f>'1. Autocorr'!B24</f>
        <v>2.1140007203459419</v>
      </c>
      <c r="C23" s="20">
        <f t="shared" si="1"/>
        <v>0.16643653951229609</v>
      </c>
      <c r="D23" s="20">
        <f t="shared" si="0"/>
        <v>1.9475641808336457</v>
      </c>
      <c r="O23" t="s">
        <v>220</v>
      </c>
    </row>
    <row r="24" spans="1:33">
      <c r="A24" s="72">
        <v>23</v>
      </c>
      <c r="B24" s="20">
        <f>'1. Autocorr'!B25</f>
        <v>2.7456002858513884</v>
      </c>
      <c r="C24" s="20">
        <f t="shared" si="1"/>
        <v>2.7074856449119844</v>
      </c>
      <c r="D24" s="20">
        <f t="shared" si="0"/>
        <v>3.8114640939403976E-2</v>
      </c>
      <c r="N24" t="s">
        <v>219</v>
      </c>
    </row>
    <row r="25" spans="1:33">
      <c r="A25" s="72">
        <v>24</v>
      </c>
      <c r="B25" s="20">
        <f>'1. Autocorr'!B26</f>
        <v>1.2982401134257575</v>
      </c>
      <c r="C25" s="20">
        <f t="shared" si="1"/>
        <v>2.4016847056971953</v>
      </c>
      <c r="D25" s="20">
        <f t="shared" si="0"/>
        <v>-1.1034445922714378</v>
      </c>
      <c r="N25" t="s">
        <v>218</v>
      </c>
    </row>
    <row r="26" spans="1:33">
      <c r="A26" s="72">
        <v>25</v>
      </c>
      <c r="B26" s="20">
        <f>'1. Autocorr'!B27</f>
        <v>1.9296045004381313E-2</v>
      </c>
      <c r="C26" s="20">
        <f t="shared" si="1"/>
        <v>1.0701091072207121</v>
      </c>
      <c r="D26" s="20">
        <f t="shared" si="0"/>
        <v>-1.0508130622163308</v>
      </c>
    </row>
    <row r="27" spans="1:33" ht="15.75">
      <c r="A27" s="72">
        <v>26</v>
      </c>
      <c r="B27" s="20">
        <f>'1. Autocorr'!B28</f>
        <v>0.8077184178553809</v>
      </c>
      <c r="C27" s="20">
        <f t="shared" si="1"/>
        <v>0.28444282685642053</v>
      </c>
      <c r="D27" s="20">
        <f t="shared" si="0"/>
        <v>0.52327559099896037</v>
      </c>
      <c r="N27" s="184" t="s">
        <v>9</v>
      </c>
      <c r="O27" s="184" t="s">
        <v>217</v>
      </c>
    </row>
    <row r="28" spans="1:33" ht="18.75">
      <c r="A28" s="72">
        <v>27</v>
      </c>
      <c r="B28" s="20">
        <f>'1. Autocorr'!B29</f>
        <v>-0.57691263291639938</v>
      </c>
      <c r="C28" s="20">
        <f t="shared" si="1"/>
        <v>1.3605666875241103</v>
      </c>
      <c r="D28" s="20">
        <f t="shared" si="0"/>
        <v>-1.9374793204405096</v>
      </c>
      <c r="N28" s="183" t="s">
        <v>216</v>
      </c>
      <c r="O28" s="182" t="s">
        <v>215</v>
      </c>
      <c r="P28" s="180"/>
      <c r="Q28" s="180"/>
      <c r="R28" s="180"/>
      <c r="S28" s="180"/>
      <c r="T28" s="180"/>
      <c r="U28" s="180"/>
      <c r="V28" s="180"/>
      <c r="W28" s="180"/>
      <c r="X28" s="181" t="s">
        <v>214</v>
      </c>
      <c r="AF28" s="4" t="s">
        <v>213</v>
      </c>
    </row>
    <row r="29" spans="1:33" ht="18.75">
      <c r="A29" s="72">
        <v>28</v>
      </c>
      <c r="B29" s="20">
        <f>'1. Autocorr'!B30</f>
        <v>-1.8307650531899835</v>
      </c>
      <c r="C29" s="20">
        <f t="shared" si="1"/>
        <v>-0.41746710671942955</v>
      </c>
      <c r="D29" s="20">
        <f t="shared" si="0"/>
        <v>-1.413297946470554</v>
      </c>
      <c r="N29" s="183" t="s">
        <v>212</v>
      </c>
      <c r="O29" s="182" t="s">
        <v>211</v>
      </c>
      <c r="P29" s="180"/>
      <c r="Q29" s="180"/>
      <c r="R29" s="180"/>
      <c r="S29" s="180"/>
      <c r="T29" s="180"/>
      <c r="U29" s="180"/>
      <c r="V29" s="180"/>
      <c r="W29" s="180"/>
      <c r="X29" s="181" t="s">
        <v>210</v>
      </c>
      <c r="AF29" s="4" t="s">
        <v>209</v>
      </c>
    </row>
    <row r="30" spans="1:33" ht="18.75">
      <c r="A30" s="72">
        <v>29</v>
      </c>
      <c r="B30" s="20">
        <f>'1. Autocorr'!B31</f>
        <v>-3.0323060212853661</v>
      </c>
      <c r="C30" s="20">
        <f t="shared" si="1"/>
        <v>-1.0136370397322012</v>
      </c>
      <c r="D30" s="20">
        <f t="shared" si="0"/>
        <v>-2.0186689815531649</v>
      </c>
      <c r="N30" s="183" t="s">
        <v>208</v>
      </c>
      <c r="O30" s="182" t="s">
        <v>207</v>
      </c>
      <c r="P30" s="180"/>
      <c r="Q30" s="180"/>
      <c r="R30" s="180"/>
      <c r="S30" s="180"/>
      <c r="T30" s="180"/>
      <c r="U30" s="180"/>
      <c r="V30" s="180"/>
      <c r="W30" s="180"/>
      <c r="X30" s="181" t="s">
        <v>206</v>
      </c>
      <c r="AF30" s="4" t="s">
        <v>205</v>
      </c>
    </row>
    <row r="31" spans="1:33" ht="18.75">
      <c r="A31" s="72">
        <v>30</v>
      </c>
      <c r="B31" s="20">
        <f>'1. Autocorr'!B32</f>
        <v>-6.2129224085178993</v>
      </c>
      <c r="C31" s="20">
        <f t="shared" si="1"/>
        <v>-1.9929650080800148</v>
      </c>
      <c r="D31" s="20">
        <f t="shared" si="0"/>
        <v>-4.2199574004378846</v>
      </c>
      <c r="N31" s="183" t="s">
        <v>204</v>
      </c>
      <c r="O31" s="182" t="s">
        <v>203</v>
      </c>
      <c r="P31" s="180"/>
      <c r="Q31" s="180"/>
      <c r="R31" s="180"/>
      <c r="S31" s="180"/>
      <c r="T31" s="180"/>
      <c r="U31" s="180"/>
      <c r="V31" s="180"/>
      <c r="W31" s="180"/>
      <c r="X31" s="181" t="s">
        <v>202</v>
      </c>
      <c r="AF31" s="4" t="s">
        <v>201</v>
      </c>
      <c r="AG31" s="180"/>
    </row>
    <row r="32" spans="1:33" ht="18.75">
      <c r="A32" s="72">
        <v>31</v>
      </c>
      <c r="B32" s="20">
        <f>'1. Autocorr'!B33</f>
        <v>-1.1851689634086644</v>
      </c>
      <c r="C32" s="20">
        <f t="shared" si="1"/>
        <v>-4.8059352571369232</v>
      </c>
      <c r="D32" s="20">
        <f t="shared" si="0"/>
        <v>3.6207662937282588</v>
      </c>
      <c r="N32" s="183" t="s">
        <v>200</v>
      </c>
      <c r="O32" s="182" t="s">
        <v>199</v>
      </c>
      <c r="P32" s="180"/>
      <c r="Q32" s="180"/>
      <c r="R32" s="180"/>
      <c r="S32" s="180"/>
      <c r="T32" s="180"/>
      <c r="U32" s="180"/>
      <c r="V32" s="180"/>
      <c r="W32" s="180"/>
      <c r="X32" s="181" t="s">
        <v>198</v>
      </c>
      <c r="AF32" s="4" t="s">
        <v>197</v>
      </c>
    </row>
    <row r="33" spans="1:33" ht="18.75">
      <c r="A33" s="72">
        <v>32</v>
      </c>
      <c r="B33" s="20">
        <f>'1. Autocorr'!B34</f>
        <v>-2.8740675853640711</v>
      </c>
      <c r="C33" s="20">
        <f t="shared" si="1"/>
        <v>1.2471126154134398</v>
      </c>
      <c r="D33" s="20">
        <f t="shared" si="0"/>
        <v>-4.1211802007775109</v>
      </c>
      <c r="N33" s="183" t="s">
        <v>196</v>
      </c>
      <c r="O33" s="182" t="s">
        <v>195</v>
      </c>
      <c r="P33" s="180"/>
      <c r="Q33" s="180"/>
      <c r="R33" s="180"/>
      <c r="S33" s="180"/>
      <c r="T33" s="180"/>
      <c r="U33" s="180"/>
      <c r="V33" s="180"/>
      <c r="W33" s="180"/>
      <c r="X33" s="181" t="s">
        <v>194</v>
      </c>
      <c r="AF33" s="4" t="s">
        <v>193</v>
      </c>
    </row>
    <row r="34" spans="1:33" ht="18.75">
      <c r="A34" s="72">
        <v>33</v>
      </c>
      <c r="B34" s="20">
        <f>'1. Autocorr'!B35</f>
        <v>-6.2496270341458739</v>
      </c>
      <c r="C34" s="20">
        <f t="shared" si="1"/>
        <v>-2.6678484010866033</v>
      </c>
      <c r="D34" s="20">
        <f t="shared" ref="D34:D51" si="2">B34-C34</f>
        <v>-3.5817786330592707</v>
      </c>
      <c r="N34" s="183" t="s">
        <v>192</v>
      </c>
      <c r="O34" s="182" t="s">
        <v>191</v>
      </c>
      <c r="P34" s="180"/>
      <c r="Q34" s="180"/>
      <c r="R34" s="180"/>
      <c r="S34" s="180"/>
      <c r="T34" s="180"/>
      <c r="U34" s="180"/>
      <c r="V34" s="180"/>
      <c r="W34" s="180"/>
      <c r="X34" s="181" t="s">
        <v>190</v>
      </c>
      <c r="AF34" s="4" t="s">
        <v>189</v>
      </c>
    </row>
    <row r="35" spans="1:33" ht="18.75">
      <c r="A35" s="72">
        <v>34</v>
      </c>
      <c r="B35" s="20">
        <f>'1. Autocorr'!B36</f>
        <v>-1.2998508136584519</v>
      </c>
      <c r="C35" s="20">
        <f t="shared" ref="C35:C51" si="3">$N$3*B34-$O$6*D34+AVERAGE($B$2:$B$51)*(1-$N$3)</f>
        <v>-4.5939575710641058</v>
      </c>
      <c r="D35" s="20">
        <f t="shared" si="2"/>
        <v>3.294106757405654</v>
      </c>
      <c r="N35" s="183" t="s">
        <v>188</v>
      </c>
      <c r="O35" s="182" t="s">
        <v>187</v>
      </c>
      <c r="P35" s="180"/>
      <c r="Q35" s="180"/>
      <c r="R35" s="180"/>
      <c r="S35" s="180"/>
      <c r="T35" s="180"/>
      <c r="U35" s="180"/>
      <c r="V35" s="180"/>
      <c r="W35" s="180"/>
      <c r="X35" s="181" t="s">
        <v>186</v>
      </c>
      <c r="AF35" s="4" t="s">
        <v>185</v>
      </c>
    </row>
    <row r="36" spans="1:33" ht="18.75">
      <c r="A36" s="72">
        <v>35</v>
      </c>
      <c r="B36" s="20">
        <f>'1. Autocorr'!B37</f>
        <v>-1.0199403254634252</v>
      </c>
      <c r="C36" s="20">
        <f t="shared" si="3"/>
        <v>1.0545945070919927</v>
      </c>
      <c r="D36" s="20">
        <f t="shared" si="2"/>
        <v>-2.0745348325554178</v>
      </c>
      <c r="N36" s="183" t="s">
        <v>184</v>
      </c>
      <c r="O36" s="182" t="s">
        <v>183</v>
      </c>
      <c r="P36" s="180"/>
      <c r="Q36" s="180"/>
      <c r="R36" s="180"/>
      <c r="S36" s="180"/>
      <c r="T36" s="180"/>
      <c r="U36" s="180"/>
      <c r="V36" s="180"/>
      <c r="W36" s="180"/>
      <c r="X36" s="181" t="s">
        <v>182</v>
      </c>
      <c r="AF36" s="4" t="s">
        <v>181</v>
      </c>
    </row>
    <row r="37" spans="1:33" ht="18.75">
      <c r="A37" s="72">
        <v>36</v>
      </c>
      <c r="B37" s="20">
        <f>'1. Autocorr'!B38</f>
        <v>-2.6079761301853921</v>
      </c>
      <c r="C37" s="20">
        <f t="shared" si="3"/>
        <v>-0.74682499146416803</v>
      </c>
      <c r="D37" s="20">
        <f t="shared" si="2"/>
        <v>-1.8611511387212241</v>
      </c>
      <c r="N37" s="183" t="s">
        <v>180</v>
      </c>
      <c r="O37" s="182" t="s">
        <v>179</v>
      </c>
      <c r="P37" s="180"/>
      <c r="Q37" s="180"/>
      <c r="R37" s="180"/>
      <c r="S37" s="180"/>
      <c r="T37" s="180"/>
      <c r="U37" s="180"/>
      <c r="V37" s="180"/>
      <c r="W37" s="180"/>
      <c r="X37" s="181" t="s">
        <v>178</v>
      </c>
      <c r="AF37" s="4" t="s">
        <v>177</v>
      </c>
    </row>
    <row r="38" spans="1:33" ht="18.75">
      <c r="A38" s="72">
        <v>37</v>
      </c>
      <c r="B38" s="20">
        <f>'1. Autocorr'!B39</f>
        <v>2.0568095479258304</v>
      </c>
      <c r="C38" s="20">
        <f t="shared" si="3"/>
        <v>-1.6678391981474538</v>
      </c>
      <c r="D38" s="20">
        <f t="shared" si="2"/>
        <v>3.7246487460732842</v>
      </c>
      <c r="N38" s="183" t="s">
        <v>176</v>
      </c>
      <c r="O38" s="182" t="s">
        <v>175</v>
      </c>
      <c r="P38" s="180"/>
      <c r="Q38" s="180"/>
      <c r="R38" s="180"/>
      <c r="S38" s="180"/>
      <c r="T38" s="180"/>
      <c r="U38" s="180"/>
      <c r="V38" s="180"/>
      <c r="W38" s="180"/>
      <c r="X38" s="181" t="s">
        <v>174</v>
      </c>
      <c r="AF38" s="4" t="s">
        <v>173</v>
      </c>
    </row>
    <row r="39" spans="1:33" ht="18.75">
      <c r="A39" s="72">
        <v>38</v>
      </c>
      <c r="B39" s="20">
        <f>'1. Autocorr'!B40</f>
        <v>2.2227238191703229</v>
      </c>
      <c r="C39" s="20">
        <f t="shared" si="3"/>
        <v>3.326099564129358</v>
      </c>
      <c r="D39" s="20">
        <f t="shared" si="2"/>
        <v>-1.1033757449590351</v>
      </c>
      <c r="N39" s="183" t="s">
        <v>172</v>
      </c>
      <c r="O39" s="182" t="s">
        <v>171</v>
      </c>
      <c r="P39" s="180"/>
      <c r="Q39" s="180"/>
      <c r="R39" s="180"/>
      <c r="S39" s="180"/>
      <c r="T39" s="180"/>
      <c r="U39" s="180"/>
      <c r="V39" s="180"/>
      <c r="W39" s="180"/>
      <c r="X39" s="181" t="s">
        <v>170</v>
      </c>
      <c r="AF39" s="4" t="s">
        <v>169</v>
      </c>
      <c r="AG39" s="180"/>
    </row>
    <row r="40" spans="1:33" ht="18.75">
      <c r="A40" s="72">
        <v>39</v>
      </c>
      <c r="B40" s="20">
        <f>'1. Autocorr'!B41</f>
        <v>0.58908952766812117</v>
      </c>
      <c r="C40" s="20">
        <f t="shared" si="3"/>
        <v>1.6520669974204405</v>
      </c>
      <c r="D40" s="20">
        <f t="shared" si="2"/>
        <v>-1.0629774697523193</v>
      </c>
      <c r="N40" s="183" t="s">
        <v>168</v>
      </c>
      <c r="O40" s="182" t="s">
        <v>167</v>
      </c>
      <c r="P40" s="180"/>
      <c r="Q40" s="180"/>
      <c r="R40" s="180"/>
      <c r="S40" s="180"/>
      <c r="T40" s="180"/>
      <c r="U40" s="180"/>
      <c r="V40" s="180"/>
      <c r="W40" s="180"/>
      <c r="X40" s="181" t="s">
        <v>166</v>
      </c>
      <c r="AF40" s="4" t="s">
        <v>165</v>
      </c>
    </row>
    <row r="41" spans="1:33" ht="18.75">
      <c r="A41" s="72">
        <v>40</v>
      </c>
      <c r="B41" s="20">
        <f>'1. Autocorr'!B42</f>
        <v>5.2356358110672412</v>
      </c>
      <c r="C41" s="20">
        <f t="shared" si="3"/>
        <v>0.63862842728317304</v>
      </c>
      <c r="D41" s="20">
        <f t="shared" si="2"/>
        <v>4.5970073837840681</v>
      </c>
      <c r="N41" s="183" t="s">
        <v>164</v>
      </c>
      <c r="O41" s="182" t="s">
        <v>163</v>
      </c>
      <c r="P41" s="180"/>
      <c r="Q41" s="180"/>
      <c r="R41" s="180"/>
      <c r="S41" s="180"/>
      <c r="T41" s="180"/>
      <c r="U41" s="180"/>
      <c r="V41" s="180"/>
      <c r="W41" s="180"/>
      <c r="X41" s="181" t="s">
        <v>162</v>
      </c>
      <c r="AF41" s="4" t="s">
        <v>161</v>
      </c>
    </row>
    <row r="42" spans="1:33" ht="18.75">
      <c r="A42" s="72">
        <v>41</v>
      </c>
      <c r="B42" s="20">
        <f>'1. Autocorr'!B43</f>
        <v>1.3942543244268895</v>
      </c>
      <c r="C42" s="20">
        <f t="shared" si="3"/>
        <v>5.648413150642531</v>
      </c>
      <c r="D42" s="20">
        <f t="shared" si="2"/>
        <v>-4.254158826215642</v>
      </c>
      <c r="N42" s="183" t="s">
        <v>160</v>
      </c>
      <c r="O42" s="182" t="s">
        <v>159</v>
      </c>
      <c r="P42" s="180"/>
      <c r="Q42" s="180"/>
      <c r="R42" s="180"/>
      <c r="S42" s="180"/>
      <c r="T42" s="180"/>
      <c r="U42" s="180"/>
      <c r="V42" s="180"/>
      <c r="W42" s="180"/>
      <c r="X42" s="181" t="s">
        <v>158</v>
      </c>
      <c r="AF42" s="4" t="s">
        <v>157</v>
      </c>
    </row>
    <row r="43" spans="1:33" ht="18.75">
      <c r="A43" s="72">
        <v>42</v>
      </c>
      <c r="B43" s="20">
        <f>'1. Autocorr'!B44</f>
        <v>2.1577017297707481</v>
      </c>
      <c r="C43" s="20">
        <f t="shared" si="3"/>
        <v>-3.0062632556867808E-2</v>
      </c>
      <c r="D43" s="20">
        <f t="shared" si="2"/>
        <v>2.187764362327616</v>
      </c>
      <c r="N43" s="183" t="s">
        <v>156</v>
      </c>
      <c r="O43" s="182" t="s">
        <v>155</v>
      </c>
      <c r="P43" s="180"/>
      <c r="Q43" s="180"/>
      <c r="R43" s="180"/>
      <c r="S43" s="180"/>
      <c r="T43" s="180"/>
      <c r="U43" s="180"/>
      <c r="V43" s="180"/>
      <c r="W43" s="180"/>
      <c r="X43" s="181" t="s">
        <v>154</v>
      </c>
      <c r="AB43" s="180"/>
      <c r="AF43" s="4" t="s">
        <v>153</v>
      </c>
    </row>
    <row r="44" spans="1:33" ht="18.75">
      <c r="A44" s="72">
        <v>43</v>
      </c>
      <c r="B44" s="20">
        <f>'1. Autocorr'!B45</f>
        <v>6.763080691908292</v>
      </c>
      <c r="C44" s="20">
        <f t="shared" si="3"/>
        <v>2.8234751041248578</v>
      </c>
      <c r="D44" s="20">
        <f t="shared" si="2"/>
        <v>3.9396055877834342</v>
      </c>
      <c r="N44" s="183" t="s">
        <v>152</v>
      </c>
      <c r="O44" s="182" t="s">
        <v>151</v>
      </c>
      <c r="P44" s="180"/>
      <c r="Q44" s="180"/>
      <c r="R44" s="180"/>
      <c r="S44" s="180"/>
      <c r="T44" s="180"/>
      <c r="U44" s="180"/>
      <c r="V44" s="180"/>
      <c r="W44" s="180"/>
      <c r="X44" s="181" t="s">
        <v>150</v>
      </c>
      <c r="AF44" s="4" t="s">
        <v>149</v>
      </c>
    </row>
    <row r="45" spans="1:33" ht="18.75">
      <c r="A45" s="72">
        <v>44</v>
      </c>
      <c r="B45" s="20">
        <f>'1. Autocorr'!B46</f>
        <v>4.905232276763309</v>
      </c>
      <c r="C45" s="20">
        <f t="shared" si="3"/>
        <v>6.3677270678975759</v>
      </c>
      <c r="D45" s="20">
        <f t="shared" si="2"/>
        <v>-1.4624947911342669</v>
      </c>
      <c r="N45" s="183" t="s">
        <v>148</v>
      </c>
      <c r="O45" s="182" t="s">
        <v>147</v>
      </c>
      <c r="P45" s="180"/>
      <c r="Q45" s="180"/>
      <c r="R45" s="180"/>
      <c r="S45" s="180"/>
      <c r="T45" s="180"/>
      <c r="U45" s="180"/>
      <c r="V45" s="180"/>
      <c r="W45" s="180"/>
      <c r="X45" s="181" t="s">
        <v>146</v>
      </c>
      <c r="AB45" s="180"/>
      <c r="AF45" s="4" t="s">
        <v>145</v>
      </c>
    </row>
    <row r="46" spans="1:33" ht="18.75">
      <c r="A46" s="72">
        <v>45</v>
      </c>
      <c r="B46" s="20">
        <f>'1. Autocorr'!B47</f>
        <v>1.4620929107053158</v>
      </c>
      <c r="C46" s="20">
        <f t="shared" si="3"/>
        <v>3.208332614563945</v>
      </c>
      <c r="D46" s="20">
        <f t="shared" si="2"/>
        <v>-1.7462397038586293</v>
      </c>
      <c r="N46" s="183" t="s">
        <v>144</v>
      </c>
      <c r="O46" s="182" t="s">
        <v>143</v>
      </c>
      <c r="P46" s="180"/>
      <c r="Q46" s="180"/>
      <c r="R46" s="180"/>
      <c r="S46" s="180"/>
      <c r="T46" s="180"/>
      <c r="U46" s="180"/>
      <c r="V46" s="180"/>
      <c r="W46" s="180"/>
      <c r="X46" s="181" t="s">
        <v>142</v>
      </c>
      <c r="AF46" s="4" t="s">
        <v>141</v>
      </c>
    </row>
    <row r="47" spans="1:33" ht="18.75">
      <c r="A47" s="72">
        <v>46</v>
      </c>
      <c r="B47" s="20">
        <f>'1. Autocorr'!B48</f>
        <v>-1.6151628357178818</v>
      </c>
      <c r="C47" s="20">
        <f t="shared" si="3"/>
        <v>0.9364665793682323</v>
      </c>
      <c r="D47" s="20">
        <f t="shared" si="2"/>
        <v>-2.5516294150861141</v>
      </c>
      <c r="N47" s="183" t="s">
        <v>140</v>
      </c>
      <c r="O47" s="182" t="s">
        <v>139</v>
      </c>
      <c r="P47" s="180"/>
      <c r="Q47" s="180"/>
      <c r="R47" s="180"/>
      <c r="S47" s="180"/>
      <c r="T47" s="180"/>
      <c r="U47" s="180"/>
      <c r="V47" s="180"/>
      <c r="W47" s="180"/>
      <c r="X47" s="181" t="s">
        <v>138</v>
      </c>
      <c r="AF47" s="4" t="s">
        <v>137</v>
      </c>
    </row>
    <row r="48" spans="1:33" ht="18.75">
      <c r="A48" s="72">
        <v>47</v>
      </c>
      <c r="B48" s="20">
        <f>'1. Autocorr'!B49</f>
        <v>-4.5460651342871614</v>
      </c>
      <c r="C48" s="20">
        <f t="shared" si="3"/>
        <v>-1.2972427198809016</v>
      </c>
      <c r="D48" s="20">
        <f t="shared" si="2"/>
        <v>-3.2488224144062601</v>
      </c>
      <c r="N48" s="183" t="s">
        <v>136</v>
      </c>
      <c r="O48" s="182" t="s">
        <v>135</v>
      </c>
      <c r="P48" s="180"/>
      <c r="Q48" s="180"/>
      <c r="R48" s="180"/>
      <c r="S48" s="180"/>
      <c r="T48" s="180"/>
      <c r="U48" s="180"/>
      <c r="V48" s="180"/>
      <c r="W48" s="180"/>
      <c r="X48" s="181" t="s">
        <v>134</v>
      </c>
      <c r="AF48" s="4" t="s">
        <v>133</v>
      </c>
    </row>
    <row r="49" spans="1:32" ht="18.75">
      <c r="A49" s="72">
        <v>48</v>
      </c>
      <c r="B49" s="20">
        <f>'1. Autocorr'!B50</f>
        <v>-1.4184260537148732</v>
      </c>
      <c r="C49" s="20">
        <f t="shared" si="3"/>
        <v>-3.3989714978530237</v>
      </c>
      <c r="D49" s="20">
        <f t="shared" si="2"/>
        <v>1.9805454441381505</v>
      </c>
      <c r="N49" s="183" t="s">
        <v>132</v>
      </c>
      <c r="O49" s="182" t="s">
        <v>131</v>
      </c>
      <c r="P49" s="180"/>
      <c r="Q49" s="180"/>
      <c r="R49" s="180"/>
      <c r="S49" s="180"/>
      <c r="T49" s="180"/>
      <c r="U49" s="180"/>
      <c r="V49" s="180"/>
      <c r="W49" s="180"/>
      <c r="X49" s="181" t="s">
        <v>130</v>
      </c>
      <c r="Z49" s="180"/>
      <c r="AF49" s="4" t="s">
        <v>129</v>
      </c>
    </row>
    <row r="50" spans="1:32" ht="18.75">
      <c r="A50" s="72">
        <v>49</v>
      </c>
      <c r="B50" s="20">
        <f>'1. Autocorr'!B51</f>
        <v>1.1326295785140421</v>
      </c>
      <c r="C50" s="20">
        <f t="shared" si="3"/>
        <v>0.4960865888748659</v>
      </c>
      <c r="D50" s="20">
        <f t="shared" si="2"/>
        <v>0.63654298963917622</v>
      </c>
      <c r="N50" s="183" t="s">
        <v>128</v>
      </c>
      <c r="O50" s="182" t="s">
        <v>127</v>
      </c>
      <c r="P50" s="180"/>
      <c r="Q50" s="180"/>
      <c r="R50" s="180"/>
      <c r="S50" s="180"/>
      <c r="T50" s="180"/>
      <c r="U50" s="180"/>
      <c r="V50" s="180"/>
      <c r="W50" s="180"/>
      <c r="X50" s="181" t="s">
        <v>126</v>
      </c>
      <c r="Z50" s="180"/>
      <c r="AF50" s="4" t="s">
        <v>125</v>
      </c>
    </row>
    <row r="51" spans="1:32">
      <c r="A51" s="179">
        <v>50</v>
      </c>
      <c r="B51" s="178">
        <f>'1. Autocorr'!B52</f>
        <v>2.0099999999999998</v>
      </c>
      <c r="C51" s="20">
        <f t="shared" si="3"/>
        <v>1.6068113600263703</v>
      </c>
      <c r="D51" s="20">
        <f t="shared" si="2"/>
        <v>0.40318863997362953</v>
      </c>
    </row>
    <row r="52" spans="1:32">
      <c r="A52" s="177">
        <v>51</v>
      </c>
      <c r="B52" s="20"/>
      <c r="C52" s="71">
        <f t="shared" ref="C52:C61" si="4">$N$3*C51+AVERAGE($B$2:$B$51)*(1-$N$3)</f>
        <v>1.6708139260802406</v>
      </c>
    </row>
    <row r="53" spans="1:32">
      <c r="A53" s="177">
        <v>52</v>
      </c>
      <c r="B53" s="20"/>
      <c r="C53" s="71">
        <f t="shared" si="4"/>
        <v>1.7111014670244158</v>
      </c>
    </row>
    <row r="54" spans="1:32">
      <c r="A54" s="177">
        <v>53</v>
      </c>
      <c r="B54" s="20"/>
      <c r="C54" s="71">
        <f t="shared" si="4"/>
        <v>1.7364611682895568</v>
      </c>
    </row>
    <row r="55" spans="1:32">
      <c r="A55" s="177">
        <v>54</v>
      </c>
      <c r="B55" s="20"/>
      <c r="C55" s="71">
        <f t="shared" si="4"/>
        <v>1.7524242783028565</v>
      </c>
    </row>
    <row r="56" spans="1:32">
      <c r="A56" s="177">
        <v>55</v>
      </c>
      <c r="B56" s="20"/>
      <c r="C56" s="71">
        <f t="shared" si="4"/>
        <v>1.7624725386759779</v>
      </c>
    </row>
    <row r="57" spans="1:32">
      <c r="A57" s="177">
        <v>56</v>
      </c>
      <c r="B57" s="20"/>
      <c r="C57" s="71">
        <f t="shared" si="4"/>
        <v>1.7687975929067588</v>
      </c>
    </row>
    <row r="58" spans="1:32">
      <c r="A58" s="177">
        <v>57</v>
      </c>
      <c r="B58" s="20"/>
      <c r="C58" s="71">
        <f t="shared" si="4"/>
        <v>1.7727790095437452</v>
      </c>
    </row>
    <row r="59" spans="1:32">
      <c r="A59" s="177">
        <v>58</v>
      </c>
      <c r="B59" s="20"/>
      <c r="C59" s="71">
        <f t="shared" si="4"/>
        <v>1.7752851822750606</v>
      </c>
    </row>
    <row r="60" spans="1:32">
      <c r="A60" s="177">
        <v>59</v>
      </c>
      <c r="B60" s="20"/>
      <c r="C60" s="71">
        <f t="shared" si="4"/>
        <v>1.7768627367818761</v>
      </c>
    </row>
    <row r="61" spans="1:32">
      <c r="A61" s="177">
        <v>60</v>
      </c>
      <c r="B61" s="20"/>
      <c r="C61" s="71">
        <f t="shared" si="4"/>
        <v>1.777855756213808</v>
      </c>
    </row>
    <row r="62" spans="1:32" ht="15.75">
      <c r="A62" s="72"/>
      <c r="B62" s="20"/>
      <c r="F62" s="176"/>
    </row>
    <row r="63" spans="1:32">
      <c r="A63" s="72"/>
      <c r="B63" s="20"/>
    </row>
    <row r="64" spans="1:32">
      <c r="A64" s="72"/>
      <c r="B64" s="20"/>
    </row>
    <row r="65" spans="1:2">
      <c r="A65" s="72"/>
      <c r="B65" s="20"/>
    </row>
    <row r="66" spans="1:2">
      <c r="A66" s="72"/>
      <c r="B66" s="20"/>
    </row>
    <row r="67" spans="1:2">
      <c r="A67" s="72"/>
      <c r="B67" s="20"/>
    </row>
    <row r="68" spans="1:2">
      <c r="A68" s="72"/>
      <c r="B68" s="20"/>
    </row>
    <row r="69" spans="1:2">
      <c r="A69" s="72"/>
      <c r="B69" s="20"/>
    </row>
    <row r="70" spans="1:2">
      <c r="A70" s="72"/>
      <c r="B70" s="20"/>
    </row>
    <row r="71" spans="1:2">
      <c r="A71" s="72"/>
      <c r="B71" s="20"/>
    </row>
    <row r="72" spans="1:2">
      <c r="A72" s="72"/>
      <c r="B72" s="20"/>
    </row>
    <row r="73" spans="1:2">
      <c r="A73" s="72"/>
      <c r="B73" s="20"/>
    </row>
    <row r="74" spans="1:2">
      <c r="A74" s="72"/>
      <c r="B74" s="20"/>
    </row>
    <row r="75" spans="1:2">
      <c r="A75" s="72"/>
      <c r="B75" s="20"/>
    </row>
    <row r="76" spans="1:2">
      <c r="A76" s="72"/>
      <c r="B76" s="20"/>
    </row>
    <row r="77" spans="1:2">
      <c r="A77" s="72"/>
      <c r="B77" s="20"/>
    </row>
    <row r="78" spans="1:2">
      <c r="A78" s="72"/>
      <c r="B78" s="20"/>
    </row>
    <row r="79" spans="1:2">
      <c r="A79" s="72"/>
      <c r="B79" s="20"/>
    </row>
    <row r="80" spans="1:2">
      <c r="A80" s="72"/>
      <c r="B80" s="20"/>
    </row>
    <row r="81" spans="1:2">
      <c r="A81" s="72"/>
      <c r="B81" s="20"/>
    </row>
    <row r="82" spans="1:2">
      <c r="A82" s="72"/>
      <c r="B82" s="20"/>
    </row>
    <row r="83" spans="1:2">
      <c r="A83" s="72"/>
      <c r="B83" s="20"/>
    </row>
    <row r="84" spans="1:2">
      <c r="A84" s="72"/>
      <c r="B84" s="20"/>
    </row>
    <row r="85" spans="1:2">
      <c r="A85" s="72"/>
      <c r="B85" s="20"/>
    </row>
    <row r="86" spans="1:2">
      <c r="A86" s="72"/>
      <c r="B86" s="20"/>
    </row>
    <row r="87" spans="1:2">
      <c r="A87" s="72"/>
      <c r="B87" s="20"/>
    </row>
    <row r="88" spans="1:2">
      <c r="A88" s="72"/>
      <c r="B88" s="20"/>
    </row>
    <row r="89" spans="1:2">
      <c r="A89" s="72"/>
      <c r="B89" s="20"/>
    </row>
    <row r="90" spans="1:2">
      <c r="A90" s="72"/>
      <c r="B90" s="20"/>
    </row>
    <row r="91" spans="1:2">
      <c r="A91" s="72"/>
      <c r="B91" s="20"/>
    </row>
    <row r="92" spans="1:2">
      <c r="A92" s="72"/>
      <c r="B92" s="20"/>
    </row>
    <row r="93" spans="1:2">
      <c r="A93" s="72"/>
      <c r="B93" s="20"/>
    </row>
    <row r="94" spans="1:2">
      <c r="A94" s="72"/>
      <c r="B94" s="20"/>
    </row>
    <row r="95" spans="1:2">
      <c r="A95" s="72"/>
      <c r="B95" s="20"/>
    </row>
    <row r="96" spans="1:2">
      <c r="A96" s="72"/>
      <c r="B96" s="20"/>
    </row>
    <row r="97" spans="1:2">
      <c r="A97" s="72"/>
      <c r="B97" s="20"/>
    </row>
    <row r="98" spans="1:2">
      <c r="A98" s="72"/>
      <c r="B98" s="20"/>
    </row>
    <row r="99" spans="1:2">
      <c r="A99" s="72"/>
      <c r="B99" s="20"/>
    </row>
    <row r="100" spans="1:2">
      <c r="A100" s="72"/>
      <c r="B100" s="20"/>
    </row>
    <row r="101" spans="1:2">
      <c r="A101" s="72"/>
      <c r="B101" s="20"/>
    </row>
    <row r="102" spans="1:2">
      <c r="A102" s="72"/>
      <c r="B102" s="20"/>
    </row>
    <row r="103" spans="1:2">
      <c r="A103" s="72"/>
      <c r="B103" s="20"/>
    </row>
    <row r="104" spans="1:2">
      <c r="A104" s="72"/>
      <c r="B104" s="20"/>
    </row>
    <row r="105" spans="1:2">
      <c r="A105" s="72"/>
      <c r="B105" s="20"/>
    </row>
    <row r="106" spans="1:2">
      <c r="A106" s="72"/>
      <c r="B106" s="20"/>
    </row>
    <row r="107" spans="1:2">
      <c r="A107" s="72"/>
      <c r="B107" s="20"/>
    </row>
    <row r="108" spans="1:2">
      <c r="A108" s="72"/>
      <c r="B108" s="20"/>
    </row>
    <row r="109" spans="1:2">
      <c r="A109" s="72"/>
      <c r="B109" s="20"/>
    </row>
    <row r="110" spans="1:2">
      <c r="A110" s="72"/>
      <c r="B110" s="20"/>
    </row>
    <row r="111" spans="1:2">
      <c r="A111" s="72"/>
      <c r="B111" s="20"/>
    </row>
    <row r="112" spans="1:2">
      <c r="A112" s="72"/>
      <c r="B112" s="20"/>
    </row>
    <row r="113" spans="1:2">
      <c r="A113" s="72"/>
      <c r="B113" s="20"/>
    </row>
    <row r="114" spans="1:2">
      <c r="A114" s="72"/>
      <c r="B114" s="20"/>
    </row>
    <row r="115" spans="1:2">
      <c r="A115" s="72"/>
      <c r="B115" s="20"/>
    </row>
    <row r="116" spans="1:2">
      <c r="A116" s="72"/>
      <c r="B116" s="20"/>
    </row>
    <row r="117" spans="1:2">
      <c r="A117" s="72"/>
      <c r="B117" s="20"/>
    </row>
    <row r="118" spans="1:2">
      <c r="A118" s="72"/>
      <c r="B118" s="20"/>
    </row>
    <row r="119" spans="1:2">
      <c r="A119" s="72"/>
      <c r="B119" s="20"/>
    </row>
    <row r="120" spans="1:2">
      <c r="A120" s="72"/>
      <c r="B120" s="20"/>
    </row>
    <row r="121" spans="1:2">
      <c r="A121" s="72"/>
      <c r="B121" s="20"/>
    </row>
    <row r="122" spans="1:2">
      <c r="A122" s="72"/>
      <c r="B122" s="20"/>
    </row>
    <row r="123" spans="1:2">
      <c r="A123" s="72"/>
      <c r="B123" s="20"/>
    </row>
    <row r="124" spans="1:2">
      <c r="A124" s="72"/>
      <c r="B124" s="20"/>
    </row>
    <row r="125" spans="1:2">
      <c r="A125" s="72"/>
      <c r="B125" s="20"/>
    </row>
    <row r="126" spans="1:2">
      <c r="A126" s="72"/>
      <c r="B126" s="20"/>
    </row>
    <row r="127" spans="1:2">
      <c r="A127" s="72"/>
      <c r="B127" s="20"/>
    </row>
    <row r="128" spans="1:2">
      <c r="A128" s="72"/>
      <c r="B128" s="20"/>
    </row>
    <row r="129" spans="1:2">
      <c r="A129" s="72"/>
      <c r="B129" s="20"/>
    </row>
    <row r="130" spans="1:2">
      <c r="A130" s="72"/>
      <c r="B130" s="20"/>
    </row>
    <row r="131" spans="1:2">
      <c r="A131" s="72"/>
      <c r="B131" s="20"/>
    </row>
    <row r="132" spans="1:2">
      <c r="A132" s="72"/>
      <c r="B132" s="20"/>
    </row>
    <row r="133" spans="1:2">
      <c r="A133" s="72"/>
      <c r="B133" s="20"/>
    </row>
    <row r="134" spans="1:2">
      <c r="A134" s="72"/>
      <c r="B134" s="20"/>
    </row>
    <row r="135" spans="1:2">
      <c r="A135" s="72"/>
      <c r="B135" s="20"/>
    </row>
    <row r="136" spans="1:2">
      <c r="A136" s="72"/>
      <c r="B136" s="20"/>
    </row>
    <row r="137" spans="1:2">
      <c r="A137" s="72"/>
      <c r="B137" s="20"/>
    </row>
    <row r="138" spans="1:2">
      <c r="A138" s="72"/>
      <c r="B138" s="20"/>
    </row>
    <row r="139" spans="1:2">
      <c r="A139" s="72"/>
      <c r="B139" s="20"/>
    </row>
    <row r="140" spans="1:2">
      <c r="A140" s="72"/>
      <c r="B140" s="20"/>
    </row>
    <row r="141" spans="1:2">
      <c r="A141" s="72"/>
      <c r="B141" s="20"/>
    </row>
    <row r="142" spans="1:2">
      <c r="A142" s="72"/>
      <c r="B142" s="20"/>
    </row>
    <row r="143" spans="1:2">
      <c r="A143" s="72"/>
      <c r="B143" s="20"/>
    </row>
    <row r="144" spans="1:2">
      <c r="A144" s="72"/>
      <c r="B144" s="20"/>
    </row>
    <row r="145" spans="1:2">
      <c r="A145" s="72"/>
      <c r="B145" s="20"/>
    </row>
    <row r="146" spans="1:2">
      <c r="A146" s="72"/>
      <c r="B146" s="20"/>
    </row>
    <row r="147" spans="1:2">
      <c r="A147" s="72"/>
      <c r="B147" s="20"/>
    </row>
    <row r="148" spans="1:2">
      <c r="A148" s="72"/>
      <c r="B148" s="20"/>
    </row>
    <row r="149" spans="1:2">
      <c r="A149" s="72"/>
      <c r="B149" s="20"/>
    </row>
    <row r="150" spans="1:2">
      <c r="A150" s="72"/>
      <c r="B150" s="20"/>
    </row>
    <row r="151" spans="1:2">
      <c r="A151" s="72"/>
      <c r="B151" s="20"/>
    </row>
    <row r="152" spans="1:2">
      <c r="A152" s="72"/>
      <c r="B152" s="20"/>
    </row>
    <row r="153" spans="1:2">
      <c r="A153" s="72"/>
      <c r="B153" s="20"/>
    </row>
    <row r="154" spans="1:2">
      <c r="A154" s="72"/>
      <c r="B154" s="20"/>
    </row>
    <row r="155" spans="1:2">
      <c r="A155" s="72"/>
      <c r="B155" s="20"/>
    </row>
    <row r="156" spans="1:2">
      <c r="A156" s="72"/>
      <c r="B156" s="20"/>
    </row>
    <row r="157" spans="1:2">
      <c r="A157" s="72"/>
      <c r="B157" s="20"/>
    </row>
    <row r="158" spans="1:2">
      <c r="A158" s="72"/>
      <c r="B158" s="20"/>
    </row>
    <row r="159" spans="1:2">
      <c r="A159" s="72"/>
      <c r="B159" s="20"/>
    </row>
    <row r="160" spans="1:2">
      <c r="A160" s="72"/>
      <c r="B160" s="20"/>
    </row>
    <row r="161" spans="1:2">
      <c r="A161" s="72"/>
      <c r="B161" s="20"/>
    </row>
    <row r="162" spans="1:2">
      <c r="A162" s="72"/>
      <c r="B162" s="20"/>
    </row>
    <row r="163" spans="1:2">
      <c r="A163" s="72"/>
      <c r="B163" s="20"/>
    </row>
    <row r="164" spans="1:2">
      <c r="A164" s="72"/>
      <c r="B164" s="20"/>
    </row>
    <row r="165" spans="1:2">
      <c r="A165" s="72"/>
      <c r="B165" s="20"/>
    </row>
    <row r="166" spans="1:2">
      <c r="A166" s="72"/>
      <c r="B166" s="20"/>
    </row>
    <row r="167" spans="1:2">
      <c r="A167" s="72"/>
      <c r="B167" s="20"/>
    </row>
    <row r="168" spans="1:2">
      <c r="A168" s="72"/>
      <c r="B168" s="20"/>
    </row>
    <row r="169" spans="1:2">
      <c r="A169" s="72"/>
      <c r="B169" s="20"/>
    </row>
    <row r="170" spans="1:2">
      <c r="A170" s="72"/>
      <c r="B170" s="20"/>
    </row>
    <row r="171" spans="1:2">
      <c r="A171" s="72"/>
      <c r="B171" s="20"/>
    </row>
    <row r="172" spans="1:2">
      <c r="A172" s="72"/>
      <c r="B172" s="20"/>
    </row>
    <row r="173" spans="1:2">
      <c r="A173" s="72"/>
      <c r="B173" s="20"/>
    </row>
    <row r="174" spans="1:2">
      <c r="A174" s="72"/>
      <c r="B174" s="20"/>
    </row>
    <row r="175" spans="1:2">
      <c r="A175" s="72"/>
      <c r="B175" s="20"/>
    </row>
    <row r="176" spans="1:2">
      <c r="A176" s="72"/>
      <c r="B176" s="20"/>
    </row>
    <row r="177" spans="1:2">
      <c r="A177" s="72"/>
      <c r="B177" s="20"/>
    </row>
    <row r="178" spans="1:2">
      <c r="A178" s="72"/>
      <c r="B178" s="20"/>
    </row>
    <row r="179" spans="1:2">
      <c r="A179" s="72"/>
      <c r="B179" s="20"/>
    </row>
    <row r="180" spans="1:2">
      <c r="A180" s="72"/>
      <c r="B180" s="20"/>
    </row>
    <row r="181" spans="1:2">
      <c r="A181" s="72"/>
      <c r="B181" s="20"/>
    </row>
    <row r="182" spans="1:2">
      <c r="A182" s="72"/>
      <c r="B182" s="20"/>
    </row>
    <row r="183" spans="1:2">
      <c r="A183" s="72"/>
      <c r="B183" s="20"/>
    </row>
    <row r="184" spans="1:2">
      <c r="A184" s="72"/>
      <c r="B184" s="20"/>
    </row>
    <row r="185" spans="1:2">
      <c r="A185" s="72"/>
      <c r="B185" s="20"/>
    </row>
    <row r="186" spans="1:2">
      <c r="A186" s="72"/>
      <c r="B186" s="20"/>
    </row>
    <row r="187" spans="1:2">
      <c r="A187" s="72"/>
      <c r="B187" s="20"/>
    </row>
    <row r="188" spans="1:2">
      <c r="A188" s="72"/>
      <c r="B188" s="20"/>
    </row>
    <row r="189" spans="1:2">
      <c r="A189" s="72"/>
      <c r="B189" s="20"/>
    </row>
    <row r="190" spans="1:2">
      <c r="A190" s="72"/>
      <c r="B190" s="20"/>
    </row>
    <row r="191" spans="1:2">
      <c r="A191" s="72"/>
      <c r="B191" s="20"/>
    </row>
    <row r="192" spans="1:2">
      <c r="A192" s="72"/>
    </row>
    <row r="193" spans="1:1">
      <c r="A193" s="72"/>
    </row>
    <row r="194" spans="1:1">
      <c r="A194" s="72"/>
    </row>
    <row r="195" spans="1:1">
      <c r="A195" s="72"/>
    </row>
    <row r="196" spans="1:1">
      <c r="A196" s="72"/>
    </row>
    <row r="197" spans="1:1">
      <c r="A197" s="72"/>
    </row>
    <row r="198" spans="1:1">
      <c r="A198" s="72"/>
    </row>
    <row r="199" spans="1:1">
      <c r="A199" s="72"/>
    </row>
    <row r="200" spans="1:1">
      <c r="A200" s="72"/>
    </row>
    <row r="201" spans="1:1">
      <c r="A201" s="72"/>
    </row>
    <row r="202" spans="1:1">
      <c r="A202" s="72"/>
    </row>
    <row r="203" spans="1:1">
      <c r="A203" s="72"/>
    </row>
    <row r="204" spans="1:1">
      <c r="A204" s="72"/>
    </row>
    <row r="205" spans="1:1">
      <c r="A205" s="72"/>
    </row>
    <row r="206" spans="1:1">
      <c r="A206" s="72"/>
    </row>
    <row r="207" spans="1:1">
      <c r="A207" s="72"/>
    </row>
    <row r="208" spans="1:1">
      <c r="A208" s="72"/>
    </row>
    <row r="209" spans="1:1">
      <c r="A209" s="72"/>
    </row>
    <row r="210" spans="1:1">
      <c r="A210" s="72"/>
    </row>
    <row r="211" spans="1:1">
      <c r="A211" s="72"/>
    </row>
    <row r="212" spans="1:1">
      <c r="A212" s="72"/>
    </row>
    <row r="213" spans="1:1">
      <c r="A213" s="72"/>
    </row>
    <row r="214" spans="1:1">
      <c r="A214" s="72"/>
    </row>
    <row r="215" spans="1:1">
      <c r="A215" s="72"/>
    </row>
    <row r="216" spans="1:1">
      <c r="A216" s="72"/>
    </row>
    <row r="217" spans="1:1">
      <c r="A217" s="72"/>
    </row>
    <row r="218" spans="1:1">
      <c r="A218" s="72"/>
    </row>
    <row r="219" spans="1:1">
      <c r="A219" s="72"/>
    </row>
    <row r="220" spans="1:1">
      <c r="A220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Autocorr</vt:lpstr>
      <vt:lpstr>2. Estim</vt:lpstr>
      <vt:lpstr>3. Model</vt:lpstr>
      <vt:lpstr>4.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Branko Pecar</cp:lastModifiedBy>
  <dcterms:created xsi:type="dcterms:W3CDTF">2017-01-19T16:36:56Z</dcterms:created>
  <dcterms:modified xsi:type="dcterms:W3CDTF">2022-06-08T19:52:32Z</dcterms:modified>
</cp:coreProperties>
</file>